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5" yWindow="315" windowWidth="28620" windowHeight="12465" tabRatio="1000" firstSheet="15" activeTab="33"/>
  </bookViews>
  <sheets>
    <sheet name=" 1.1" sheetId="75" r:id="rId1"/>
    <sheet name="1.2Joh" sheetId="55" r:id="rId2"/>
    <sheet name="1.2Ked" sheetId="56" r:id="rId3"/>
    <sheet name="1.2Kel" sheetId="57" r:id="rId4"/>
    <sheet name="1.2Mel &amp; N9" sheetId="58" r:id="rId5"/>
    <sheet name="1.2Phg" sheetId="59" r:id="rId6"/>
    <sheet name="1.2Prk" sheetId="46" r:id="rId7"/>
    <sheet name="1.2Pls_PP" sheetId="47" r:id="rId8"/>
    <sheet name="1.2Sbh" sheetId="63" r:id="rId9"/>
    <sheet name="1.2Sbh (2)" sheetId="64" r:id="rId10"/>
    <sheet name="1.2Swk" sheetId="69" r:id="rId11"/>
    <sheet name="1.2Swk (2)" sheetId="70" r:id="rId12"/>
    <sheet name="1.2Swk (3)" sheetId="71" r:id="rId13"/>
    <sheet name="1.2Sel" sheetId="72" r:id="rId14"/>
    <sheet name="1.2Trg" sheetId="73" r:id="rId15"/>
    <sheet name="1.2WPKL" sheetId="74" r:id="rId16"/>
    <sheet name="1.3" sheetId="76" r:id="rId17"/>
    <sheet name="1.4Johor" sheetId="78" r:id="rId18"/>
    <sheet name="1.4Kedah" sheetId="79" r:id="rId19"/>
    <sheet name="1.4Kelantan" sheetId="80" r:id="rId20"/>
    <sheet name="1.4Melaka" sheetId="81" r:id="rId21"/>
    <sheet name="1.4Pahang" sheetId="82" r:id="rId22"/>
    <sheet name="1.4Perak" sheetId="83" r:id="rId23"/>
    <sheet name="1.4Perlis" sheetId="84" r:id="rId24"/>
    <sheet name="1.4Sabah" sheetId="85" r:id="rId25"/>
    <sheet name="1.4Sabah (2)" sheetId="86" r:id="rId26"/>
    <sheet name="1.4Sarawak" sheetId="87" r:id="rId27"/>
    <sheet name="1.4Sarawak (2)" sheetId="88" r:id="rId28"/>
    <sheet name="1.4Sarawak (3)" sheetId="89" r:id="rId29"/>
    <sheet name="1.4Selangor" sheetId="90" r:id="rId30"/>
    <sheet name="1.4Terengganu" sheetId="91" r:id="rId31"/>
    <sheet name="1.4W.P. KL" sheetId="92" r:id="rId32"/>
    <sheet name="1.5" sheetId="77" r:id="rId33"/>
    <sheet name="1.6Johor" sheetId="93" r:id="rId34"/>
    <sheet name="1.6Kedah" sheetId="94" r:id="rId35"/>
    <sheet name="1.6Kelantan" sheetId="95" r:id="rId36"/>
    <sheet name="1.6Melaka &amp; N9 " sheetId="96" r:id="rId37"/>
    <sheet name="1.6Pahang" sheetId="97" r:id="rId38"/>
    <sheet name="1.6Perak" sheetId="98" r:id="rId39"/>
    <sheet name="1.6Perlis &amp; PP " sheetId="99" r:id="rId40"/>
    <sheet name="1.6Sabah" sheetId="100" r:id="rId41"/>
    <sheet name="1.6Sabah (2)" sheetId="101" r:id="rId42"/>
    <sheet name="1.6Sarawak" sheetId="102" r:id="rId43"/>
    <sheet name="1.6Sarawak (2)" sheetId="103" r:id="rId44"/>
    <sheet name="1.6Sarawak (3)" sheetId="104" r:id="rId45"/>
    <sheet name="1.6Selangor" sheetId="105" r:id="rId46"/>
    <sheet name="1.6Terengganu" sheetId="106" r:id="rId47"/>
    <sheet name="1.6WPKL " sheetId="107" r:id="rId48"/>
  </sheets>
  <definedNames>
    <definedName name="_xlnm.Print_Area" localSheetId="1">'1.2Joh'!$A$1:$H$72</definedName>
    <definedName name="_xlnm.Print_Area" localSheetId="2">'1.2Ked'!$A$1:$H$60</definedName>
    <definedName name="_xlnm.Print_Area" localSheetId="3">'1.2Kel'!$A$1:$H$56</definedName>
    <definedName name="_xlnm.Print_Area" localSheetId="4">'1.2Mel &amp; N9'!$A$1:$H$65</definedName>
    <definedName name="_xlnm.Print_Area" localSheetId="5">'1.2Phg'!$A$1:$H$60</definedName>
    <definedName name="_xlnm.Print_Area" localSheetId="7">'1.2Pls_PP'!$A$1:$H$57</definedName>
    <definedName name="_xlnm.Print_Area" localSheetId="6">'1.2Prk'!$A$1:$H$76</definedName>
    <definedName name="_xlnm.Print_Area" localSheetId="13">'1.2Sel'!$A$1:$H$76</definedName>
    <definedName name="_xlnm.Print_Area" localSheetId="10">'1.2Swk'!$A$1:$H$50</definedName>
    <definedName name="_xlnm.Print_Area" localSheetId="11">'1.2Swk (2)'!$A$1:$H$54</definedName>
    <definedName name="_xlnm.Print_Area" localSheetId="12">'1.2Swk (3)'!$A$1:$H$54</definedName>
    <definedName name="_xlnm.Print_Area" localSheetId="14">'1.2Trg'!$A$1:$H$46</definedName>
    <definedName name="_xlnm.Print_Area" localSheetId="15">'1.2WPKL'!$A$1:$H$43</definedName>
    <definedName name="_xlnm.Print_Area" localSheetId="20">'1.4Melaka'!$A$1:$J$68</definedName>
    <definedName name="_xlnm.Print_Area" localSheetId="34">'1.6Kedah'!$A$1:$L$62</definedName>
    <definedName name="_xlnm.Print_Area" localSheetId="38">'1.6Perak'!$A$1:$L$78</definedName>
    <definedName name="_xlnm.Print_Area" localSheetId="42">'1.6Sarawak'!$A$1:$L$50</definedName>
  </definedNames>
  <calcPr calcId="125725" calcMode="manual"/>
</workbook>
</file>

<file path=xl/calcChain.xml><?xml version="1.0" encoding="utf-8"?>
<calcChain xmlns="http://schemas.openxmlformats.org/spreadsheetml/2006/main">
  <c r="K39" i="107"/>
  <c r="E39" s="1"/>
  <c r="F39"/>
  <c r="E38"/>
  <c r="E37"/>
  <c r="K35"/>
  <c r="G35"/>
  <c r="F35"/>
  <c r="E35" s="1"/>
  <c r="E34"/>
  <c r="E33"/>
  <c r="G31"/>
  <c r="F31"/>
  <c r="E31" s="1"/>
  <c r="E30"/>
  <c r="E29"/>
  <c r="K27"/>
  <c r="E27" s="1"/>
  <c r="E26"/>
  <c r="E25"/>
  <c r="K23"/>
  <c r="E23" s="1"/>
  <c r="G23"/>
  <c r="F23"/>
  <c r="E22"/>
  <c r="E21"/>
  <c r="G19"/>
  <c r="F19"/>
  <c r="E19" s="1"/>
  <c r="E18"/>
  <c r="E17"/>
  <c r="K15"/>
  <c r="J15"/>
  <c r="I15"/>
  <c r="H15"/>
  <c r="G15"/>
  <c r="E14"/>
  <c r="E13"/>
  <c r="K43" i="106"/>
  <c r="E43" s="1"/>
  <c r="F43"/>
  <c r="E42"/>
  <c r="E41"/>
  <c r="K39"/>
  <c r="F39"/>
  <c r="E39"/>
  <c r="E38"/>
  <c r="E37"/>
  <c r="K35"/>
  <c r="F35"/>
  <c r="E35" s="1"/>
  <c r="E34"/>
  <c r="E33"/>
  <c r="K31"/>
  <c r="K15" s="1"/>
  <c r="F31"/>
  <c r="E31" s="1"/>
  <c r="E30"/>
  <c r="E29"/>
  <c r="K27"/>
  <c r="E27" s="1"/>
  <c r="F27"/>
  <c r="E26"/>
  <c r="E25"/>
  <c r="K23"/>
  <c r="F23"/>
  <c r="E23"/>
  <c r="E22"/>
  <c r="E21"/>
  <c r="K19"/>
  <c r="F19"/>
  <c r="E19" s="1"/>
  <c r="E18"/>
  <c r="E17"/>
  <c r="L15"/>
  <c r="I15"/>
  <c r="H15"/>
  <c r="G15"/>
  <c r="E14"/>
  <c r="E13"/>
  <c r="E75" i="105"/>
  <c r="E74"/>
  <c r="E73"/>
  <c r="E71"/>
  <c r="E70"/>
  <c r="E69"/>
  <c r="E67"/>
  <c r="E66"/>
  <c r="E65"/>
  <c r="E63"/>
  <c r="E62"/>
  <c r="E61"/>
  <c r="E59"/>
  <c r="E58"/>
  <c r="E57"/>
  <c r="E55"/>
  <c r="E54"/>
  <c r="E53"/>
  <c r="E51"/>
  <c r="E50"/>
  <c r="E49"/>
  <c r="E47"/>
  <c r="E46"/>
  <c r="E45"/>
  <c r="E43"/>
  <c r="E42"/>
  <c r="E41"/>
  <c r="E39"/>
  <c r="E38"/>
  <c r="E37"/>
  <c r="E35"/>
  <c r="E34"/>
  <c r="E33"/>
  <c r="E31"/>
  <c r="E30"/>
  <c r="E29"/>
  <c r="E27"/>
  <c r="E26"/>
  <c r="E25"/>
  <c r="E23"/>
  <c r="E22"/>
  <c r="E21"/>
  <c r="E19"/>
  <c r="E18"/>
  <c r="E17"/>
  <c r="K15"/>
  <c r="J15"/>
  <c r="I15"/>
  <c r="H15"/>
  <c r="G15"/>
  <c r="F15"/>
  <c r="E15"/>
  <c r="E14"/>
  <c r="E13"/>
  <c r="K54" i="104"/>
  <c r="E54"/>
  <c r="E53"/>
  <c r="E52"/>
  <c r="K50"/>
  <c r="F50"/>
  <c r="E50" s="1"/>
  <c r="E49"/>
  <c r="E48"/>
  <c r="K46"/>
  <c r="E46" s="1"/>
  <c r="E45"/>
  <c r="E44"/>
  <c r="K42"/>
  <c r="E42" s="1"/>
  <c r="E41"/>
  <c r="E40"/>
  <c r="K38"/>
  <c r="F38"/>
  <c r="E38" s="1"/>
  <c r="E37"/>
  <c r="E36"/>
  <c r="K34"/>
  <c r="E34" s="1"/>
  <c r="F34"/>
  <c r="E33"/>
  <c r="E32"/>
  <c r="K30"/>
  <c r="F30"/>
  <c r="E30"/>
  <c r="E29"/>
  <c r="E28"/>
  <c r="K26"/>
  <c r="F26"/>
  <c r="E26" s="1"/>
  <c r="E25"/>
  <c r="E24"/>
  <c r="K22"/>
  <c r="F22"/>
  <c r="E22" s="1"/>
  <c r="E21"/>
  <c r="E20"/>
  <c r="K18"/>
  <c r="E18" s="1"/>
  <c r="F18"/>
  <c r="E17"/>
  <c r="E16"/>
  <c r="K53" i="103"/>
  <c r="G53"/>
  <c r="F53"/>
  <c r="E53" s="1"/>
  <c r="E52"/>
  <c r="E51"/>
  <c r="K49"/>
  <c r="F49"/>
  <c r="E49" s="1"/>
  <c r="E48"/>
  <c r="E47"/>
  <c r="K45"/>
  <c r="E45" s="1"/>
  <c r="E44"/>
  <c r="E43"/>
  <c r="K41"/>
  <c r="F41"/>
  <c r="E41" s="1"/>
  <c r="E40"/>
  <c r="E39"/>
  <c r="K37"/>
  <c r="F37"/>
  <c r="E37"/>
  <c r="E36"/>
  <c r="E35"/>
  <c r="K33"/>
  <c r="F33"/>
  <c r="E33" s="1"/>
  <c r="E32"/>
  <c r="E31"/>
  <c r="K29"/>
  <c r="F29"/>
  <c r="E29" s="1"/>
  <c r="E28"/>
  <c r="E27"/>
  <c r="K25"/>
  <c r="E25" s="1"/>
  <c r="E24"/>
  <c r="E23"/>
  <c r="K21"/>
  <c r="E21" s="1"/>
  <c r="F21"/>
  <c r="E20"/>
  <c r="E19"/>
  <c r="K17"/>
  <c r="F17"/>
  <c r="E17"/>
  <c r="E16"/>
  <c r="E15"/>
  <c r="K47" i="102"/>
  <c r="F47"/>
  <c r="E47" s="1"/>
  <c r="E46"/>
  <c r="E45"/>
  <c r="K43"/>
  <c r="E43" s="1"/>
  <c r="E42"/>
  <c r="E41"/>
  <c r="K39"/>
  <c r="E39" s="1"/>
  <c r="E38"/>
  <c r="E37"/>
  <c r="K35"/>
  <c r="F35"/>
  <c r="E35" s="1"/>
  <c r="E34"/>
  <c r="E33"/>
  <c r="K31"/>
  <c r="E31" s="1"/>
  <c r="F31"/>
  <c r="E30"/>
  <c r="E29"/>
  <c r="K27"/>
  <c r="F27"/>
  <c r="E27"/>
  <c r="E26"/>
  <c r="E25"/>
  <c r="K23"/>
  <c r="F23"/>
  <c r="E23" s="1"/>
  <c r="E22"/>
  <c r="E21"/>
  <c r="K19"/>
  <c r="E19" s="1"/>
  <c r="G19"/>
  <c r="F19"/>
  <c r="E18"/>
  <c r="E17"/>
  <c r="E15"/>
  <c r="E14"/>
  <c r="E13"/>
  <c r="K57" i="101"/>
  <c r="F57"/>
  <c r="E57" s="1"/>
  <c r="E56"/>
  <c r="E55"/>
  <c r="K53"/>
  <c r="F53"/>
  <c r="E53"/>
  <c r="E52"/>
  <c r="E51"/>
  <c r="K49"/>
  <c r="F49"/>
  <c r="E49" s="1"/>
  <c r="E48"/>
  <c r="E47"/>
  <c r="K45"/>
  <c r="E45" s="1"/>
  <c r="F45"/>
  <c r="E44"/>
  <c r="E43"/>
  <c r="K41"/>
  <c r="F41"/>
  <c r="E41" s="1"/>
  <c r="E40"/>
  <c r="E39"/>
  <c r="K37"/>
  <c r="F37"/>
  <c r="E37"/>
  <c r="E36"/>
  <c r="E35"/>
  <c r="K33"/>
  <c r="F33"/>
  <c r="E33" s="1"/>
  <c r="E32"/>
  <c r="E31"/>
  <c r="K29"/>
  <c r="E29" s="1"/>
  <c r="F29"/>
  <c r="E28"/>
  <c r="E27"/>
  <c r="K25"/>
  <c r="F25"/>
  <c r="E25" s="1"/>
  <c r="E24"/>
  <c r="E23"/>
  <c r="K21"/>
  <c r="F21"/>
  <c r="E21"/>
  <c r="E20"/>
  <c r="E19"/>
  <c r="F17"/>
  <c r="E17"/>
  <c r="E16"/>
  <c r="E15"/>
  <c r="K51" i="100"/>
  <c r="F51"/>
  <c r="E51" s="1"/>
  <c r="E50"/>
  <c r="E49"/>
  <c r="K47"/>
  <c r="E47" s="1"/>
  <c r="F47"/>
  <c r="E46"/>
  <c r="E45"/>
  <c r="K43"/>
  <c r="F43"/>
  <c r="E43" s="1"/>
  <c r="E42"/>
  <c r="E41"/>
  <c r="K39"/>
  <c r="F39"/>
  <c r="E39"/>
  <c r="E38"/>
  <c r="E37"/>
  <c r="K35"/>
  <c r="G35"/>
  <c r="F35"/>
  <c r="E35"/>
  <c r="E34"/>
  <c r="E33"/>
  <c r="K31"/>
  <c r="F31"/>
  <c r="E31" s="1"/>
  <c r="E30"/>
  <c r="E29"/>
  <c r="K27"/>
  <c r="G27"/>
  <c r="F27"/>
  <c r="E27" s="1"/>
  <c r="E26"/>
  <c r="E25"/>
  <c r="K23"/>
  <c r="F23"/>
  <c r="E23"/>
  <c r="E22"/>
  <c r="E21"/>
  <c r="K19"/>
  <c r="F19"/>
  <c r="E19" s="1"/>
  <c r="E18"/>
  <c r="E17"/>
  <c r="K15"/>
  <c r="J15"/>
  <c r="I15"/>
  <c r="H15"/>
  <c r="E15" s="1"/>
  <c r="G15"/>
  <c r="F15"/>
  <c r="E14"/>
  <c r="E13"/>
  <c r="K52" i="99"/>
  <c r="F52"/>
  <c r="E52"/>
  <c r="E51"/>
  <c r="E50"/>
  <c r="K48"/>
  <c r="G48"/>
  <c r="G32" s="1"/>
  <c r="F48"/>
  <c r="E48" s="1"/>
  <c r="E47"/>
  <c r="E46"/>
  <c r="K44"/>
  <c r="G44"/>
  <c r="F44"/>
  <c r="E44"/>
  <c r="E43"/>
  <c r="E42"/>
  <c r="K40"/>
  <c r="F40"/>
  <c r="E40" s="1"/>
  <c r="E39"/>
  <c r="E38"/>
  <c r="K36"/>
  <c r="E36" s="1"/>
  <c r="G36"/>
  <c r="F36"/>
  <c r="E35"/>
  <c r="E34"/>
  <c r="L32"/>
  <c r="J32"/>
  <c r="I32"/>
  <c r="H32"/>
  <c r="F32"/>
  <c r="E31"/>
  <c r="E30"/>
  <c r="K27"/>
  <c r="E27" s="1"/>
  <c r="E26"/>
  <c r="E25"/>
  <c r="K23"/>
  <c r="F23"/>
  <c r="E23" s="1"/>
  <c r="E22"/>
  <c r="E21"/>
  <c r="K19"/>
  <c r="K15" s="1"/>
  <c r="E15" s="1"/>
  <c r="F19"/>
  <c r="E19"/>
  <c r="E18"/>
  <c r="E17"/>
  <c r="J15"/>
  <c r="I15"/>
  <c r="H15"/>
  <c r="G15"/>
  <c r="F15"/>
  <c r="E14"/>
  <c r="E13"/>
  <c r="K75" i="98"/>
  <c r="G75"/>
  <c r="F75"/>
  <c r="E75" s="1"/>
  <c r="E74"/>
  <c r="E73"/>
  <c r="K71"/>
  <c r="F71"/>
  <c r="E71"/>
  <c r="E70"/>
  <c r="E69"/>
  <c r="K67"/>
  <c r="G67"/>
  <c r="F67"/>
  <c r="E67" s="1"/>
  <c r="E66"/>
  <c r="E65"/>
  <c r="K63"/>
  <c r="E63" s="1"/>
  <c r="F63"/>
  <c r="E62"/>
  <c r="E61"/>
  <c r="K59"/>
  <c r="F59"/>
  <c r="E59"/>
  <c r="E58"/>
  <c r="E57"/>
  <c r="K55"/>
  <c r="F55"/>
  <c r="E55"/>
  <c r="E54"/>
  <c r="E53"/>
  <c r="K51"/>
  <c r="E51"/>
  <c r="E50"/>
  <c r="E49"/>
  <c r="K47"/>
  <c r="F47"/>
  <c r="E47" s="1"/>
  <c r="E46"/>
  <c r="E45"/>
  <c r="K43"/>
  <c r="F43"/>
  <c r="E43" s="1"/>
  <c r="E42"/>
  <c r="E41"/>
  <c r="K39"/>
  <c r="G39"/>
  <c r="F39"/>
  <c r="E39"/>
  <c r="E38"/>
  <c r="E37"/>
  <c r="K35"/>
  <c r="F35"/>
  <c r="E35" s="1"/>
  <c r="E34"/>
  <c r="E33"/>
  <c r="K31"/>
  <c r="E31" s="1"/>
  <c r="G31"/>
  <c r="F31"/>
  <c r="E30"/>
  <c r="E29"/>
  <c r="K27"/>
  <c r="F27"/>
  <c r="E27"/>
  <c r="E26"/>
  <c r="E25"/>
  <c r="K23"/>
  <c r="F23"/>
  <c r="E23" s="1"/>
  <c r="E22"/>
  <c r="E21"/>
  <c r="K19"/>
  <c r="E19" s="1"/>
  <c r="F19"/>
  <c r="E18"/>
  <c r="E17"/>
  <c r="E15"/>
  <c r="E14"/>
  <c r="E13"/>
  <c r="K59" i="97"/>
  <c r="E59" s="1"/>
  <c r="G59"/>
  <c r="F59"/>
  <c r="E58"/>
  <c r="E57"/>
  <c r="K55"/>
  <c r="F55"/>
  <c r="E55"/>
  <c r="E54"/>
  <c r="E53"/>
  <c r="K51"/>
  <c r="F51"/>
  <c r="E51" s="1"/>
  <c r="E50"/>
  <c r="E49"/>
  <c r="K47"/>
  <c r="E47" s="1"/>
  <c r="F47"/>
  <c r="E46"/>
  <c r="E45"/>
  <c r="G43"/>
  <c r="F43"/>
  <c r="E43"/>
  <c r="E42"/>
  <c r="E41"/>
  <c r="K39"/>
  <c r="G39"/>
  <c r="F39"/>
  <c r="E39" s="1"/>
  <c r="E38"/>
  <c r="E37"/>
  <c r="K35"/>
  <c r="E35" s="1"/>
  <c r="G35"/>
  <c r="F35"/>
  <c r="E34"/>
  <c r="E33"/>
  <c r="K31"/>
  <c r="F31"/>
  <c r="E31"/>
  <c r="E30"/>
  <c r="E29"/>
  <c r="K27"/>
  <c r="F27"/>
  <c r="F15" s="1"/>
  <c r="E26"/>
  <c r="E25"/>
  <c r="K23"/>
  <c r="K15" s="1"/>
  <c r="F23"/>
  <c r="E23" s="1"/>
  <c r="E22"/>
  <c r="E21"/>
  <c r="K19"/>
  <c r="F19"/>
  <c r="E19"/>
  <c r="E18"/>
  <c r="E17"/>
  <c r="J15"/>
  <c r="I15"/>
  <c r="H15"/>
  <c r="G15"/>
  <c r="E14"/>
  <c r="E13"/>
  <c r="K64" i="96"/>
  <c r="F64"/>
  <c r="E64" s="1"/>
  <c r="E63"/>
  <c r="E62"/>
  <c r="K60"/>
  <c r="G60"/>
  <c r="F60"/>
  <c r="E60" s="1"/>
  <c r="E59"/>
  <c r="E58"/>
  <c r="K56"/>
  <c r="F56"/>
  <c r="E56"/>
  <c r="E55"/>
  <c r="E54"/>
  <c r="K52"/>
  <c r="F52"/>
  <c r="E52" s="1"/>
  <c r="E51"/>
  <c r="E50"/>
  <c r="K48"/>
  <c r="E48" s="1"/>
  <c r="G48"/>
  <c r="F48"/>
  <c r="E47"/>
  <c r="E46"/>
  <c r="K44"/>
  <c r="F44"/>
  <c r="E44"/>
  <c r="E43"/>
  <c r="E42"/>
  <c r="K40"/>
  <c r="F40"/>
  <c r="E40" s="1"/>
  <c r="E39"/>
  <c r="E38"/>
  <c r="K36"/>
  <c r="E36" s="1"/>
  <c r="F36"/>
  <c r="E35"/>
  <c r="E34"/>
  <c r="E32"/>
  <c r="E31"/>
  <c r="E30"/>
  <c r="K27"/>
  <c r="G27"/>
  <c r="F27"/>
  <c r="E27" s="1"/>
  <c r="E26"/>
  <c r="E25"/>
  <c r="K23"/>
  <c r="F23"/>
  <c r="E23"/>
  <c r="E22"/>
  <c r="E21"/>
  <c r="K19"/>
  <c r="F19"/>
  <c r="E19" s="1"/>
  <c r="E18"/>
  <c r="E17"/>
  <c r="E15"/>
  <c r="E14"/>
  <c r="E13"/>
  <c r="F55" i="95"/>
  <c r="E55"/>
  <c r="E54"/>
  <c r="E53"/>
  <c r="K51"/>
  <c r="F51"/>
  <c r="E51" s="1"/>
  <c r="E50"/>
  <c r="E49"/>
  <c r="K47"/>
  <c r="G47"/>
  <c r="F47"/>
  <c r="E47" s="1"/>
  <c r="E46"/>
  <c r="E45"/>
  <c r="F43"/>
  <c r="E43"/>
  <c r="E42"/>
  <c r="E41"/>
  <c r="K39"/>
  <c r="F39"/>
  <c r="E39"/>
  <c r="E38"/>
  <c r="E37"/>
  <c r="K35"/>
  <c r="F35"/>
  <c r="E35" s="1"/>
  <c r="E34"/>
  <c r="E33"/>
  <c r="K31"/>
  <c r="G31"/>
  <c r="F31"/>
  <c r="E31" s="1"/>
  <c r="E30"/>
  <c r="E29"/>
  <c r="K27"/>
  <c r="F27"/>
  <c r="E27"/>
  <c r="E26"/>
  <c r="E25"/>
  <c r="K23"/>
  <c r="F23"/>
  <c r="E23"/>
  <c r="E22"/>
  <c r="E21"/>
  <c r="K19"/>
  <c r="F19"/>
  <c r="E19"/>
  <c r="E18"/>
  <c r="E17"/>
  <c r="L15"/>
  <c r="K15"/>
  <c r="I15"/>
  <c r="H15"/>
  <c r="G15"/>
  <c r="F15"/>
  <c r="E15" s="1"/>
  <c r="E14"/>
  <c r="E13"/>
  <c r="K59" i="94"/>
  <c r="E59" s="1"/>
  <c r="E58"/>
  <c r="E57"/>
  <c r="K55"/>
  <c r="E55" s="1"/>
  <c r="E54"/>
  <c r="E53"/>
  <c r="K51"/>
  <c r="F51"/>
  <c r="E51" s="1"/>
  <c r="E50"/>
  <c r="E49"/>
  <c r="K47"/>
  <c r="F47"/>
  <c r="E47"/>
  <c r="E46"/>
  <c r="E45"/>
  <c r="K43"/>
  <c r="F43"/>
  <c r="E43"/>
  <c r="E42"/>
  <c r="E41"/>
  <c r="K39"/>
  <c r="G39"/>
  <c r="E39" s="1"/>
  <c r="E38"/>
  <c r="E37"/>
  <c r="K35"/>
  <c r="E35" s="1"/>
  <c r="E34"/>
  <c r="E33"/>
  <c r="E31"/>
  <c r="E30"/>
  <c r="E29"/>
  <c r="K27"/>
  <c r="G27"/>
  <c r="F27"/>
  <c r="E27"/>
  <c r="E26"/>
  <c r="E25"/>
  <c r="K23"/>
  <c r="F23"/>
  <c r="E23"/>
  <c r="E22"/>
  <c r="E21"/>
  <c r="K19"/>
  <c r="F19"/>
  <c r="E19"/>
  <c r="E18"/>
  <c r="E17"/>
  <c r="K15"/>
  <c r="J15"/>
  <c r="I15"/>
  <c r="H15"/>
  <c r="G15"/>
  <c r="F15"/>
  <c r="E15" s="1"/>
  <c r="E14"/>
  <c r="E13"/>
  <c r="G71" i="93"/>
  <c r="F71"/>
  <c r="E71" s="1"/>
  <c r="E70"/>
  <c r="E69"/>
  <c r="K67"/>
  <c r="E67"/>
  <c r="E66"/>
  <c r="E65"/>
  <c r="K63"/>
  <c r="G63"/>
  <c r="F63"/>
  <c r="E63"/>
  <c r="E62"/>
  <c r="E61"/>
  <c r="E59"/>
  <c r="E58"/>
  <c r="E57"/>
  <c r="K55"/>
  <c r="F55"/>
  <c r="E55"/>
  <c r="E54"/>
  <c r="E53"/>
  <c r="F51"/>
  <c r="E51"/>
  <c r="E50"/>
  <c r="E49"/>
  <c r="F47"/>
  <c r="E47" s="1"/>
  <c r="E46"/>
  <c r="E45"/>
  <c r="K43"/>
  <c r="G43"/>
  <c r="F43"/>
  <c r="E43"/>
  <c r="E42"/>
  <c r="E41"/>
  <c r="G39"/>
  <c r="F39"/>
  <c r="E39" s="1"/>
  <c r="E15" s="1"/>
  <c r="E38"/>
  <c r="E37"/>
  <c r="G35"/>
  <c r="F35"/>
  <c r="E35"/>
  <c r="E34"/>
  <c r="E33"/>
  <c r="K31"/>
  <c r="G31"/>
  <c r="E31"/>
  <c r="E30"/>
  <c r="E29"/>
  <c r="G27"/>
  <c r="E27"/>
  <c r="E26"/>
  <c r="E25"/>
  <c r="G23"/>
  <c r="E23"/>
  <c r="K19"/>
  <c r="G19"/>
  <c r="F19"/>
  <c r="E19"/>
  <c r="E18"/>
  <c r="E17"/>
  <c r="K15"/>
  <c r="J15"/>
  <c r="I15"/>
  <c r="H15"/>
  <c r="G15"/>
  <c r="F15"/>
  <c r="K14"/>
  <c r="J14"/>
  <c r="I14"/>
  <c r="H14"/>
  <c r="G14"/>
  <c r="F14"/>
  <c r="E14" s="1"/>
  <c r="K13"/>
  <c r="J13"/>
  <c r="I13"/>
  <c r="H13"/>
  <c r="G13"/>
  <c r="F13"/>
  <c r="E13"/>
  <c r="E40" i="92"/>
  <c r="E39"/>
  <c r="E38"/>
  <c r="E36"/>
  <c r="E35"/>
  <c r="E34"/>
  <c r="E32"/>
  <c r="E31"/>
  <c r="E30"/>
  <c r="E28"/>
  <c r="E27"/>
  <c r="E26"/>
  <c r="E24"/>
  <c r="E23"/>
  <c r="E22"/>
  <c r="E20"/>
  <c r="E19"/>
  <c r="E18"/>
  <c r="I16"/>
  <c r="H16"/>
  <c r="G16"/>
  <c r="F16"/>
  <c r="E16"/>
  <c r="E15"/>
  <c r="E14"/>
  <c r="E44" i="91"/>
  <c r="E43"/>
  <c r="E42"/>
  <c r="E40"/>
  <c r="E39"/>
  <c r="E38"/>
  <c r="E36"/>
  <c r="E35"/>
  <c r="E34"/>
  <c r="E32"/>
  <c r="E31"/>
  <c r="E30"/>
  <c r="E28"/>
  <c r="E27"/>
  <c r="E26"/>
  <c r="E24"/>
  <c r="E23"/>
  <c r="E22"/>
  <c r="E20"/>
  <c r="E19"/>
  <c r="E18"/>
  <c r="I16"/>
  <c r="H16"/>
  <c r="G16"/>
  <c r="F16"/>
  <c r="E16"/>
  <c r="E15"/>
  <c r="E14"/>
  <c r="E76" i="90"/>
  <c r="E75"/>
  <c r="E74"/>
  <c r="E72"/>
  <c r="E71"/>
  <c r="E70"/>
  <c r="E68"/>
  <c r="E67"/>
  <c r="E66"/>
  <c r="E64"/>
  <c r="E63"/>
  <c r="E62"/>
  <c r="E60"/>
  <c r="E59"/>
  <c r="E58"/>
  <c r="E56"/>
  <c r="E55"/>
  <c r="E54"/>
  <c r="E52"/>
  <c r="E51"/>
  <c r="E50"/>
  <c r="E48"/>
  <c r="E47"/>
  <c r="E46"/>
  <c r="E44"/>
  <c r="E43"/>
  <c r="E42"/>
  <c r="E40"/>
  <c r="E39"/>
  <c r="E38"/>
  <c r="E36"/>
  <c r="E35"/>
  <c r="E34"/>
  <c r="E32"/>
  <c r="E31"/>
  <c r="E30"/>
  <c r="E28"/>
  <c r="E27"/>
  <c r="E26"/>
  <c r="E24"/>
  <c r="E23"/>
  <c r="E22"/>
  <c r="E20"/>
  <c r="E19"/>
  <c r="E18"/>
  <c r="J16"/>
  <c r="I16"/>
  <c r="H16"/>
  <c r="G16"/>
  <c r="F16"/>
  <c r="E16"/>
  <c r="E15"/>
  <c r="E14"/>
  <c r="E54" i="89"/>
  <c r="E53"/>
  <c r="E52"/>
  <c r="E50"/>
  <c r="E49"/>
  <c r="E48"/>
  <c r="E46"/>
  <c r="E45"/>
  <c r="E44"/>
  <c r="E42"/>
  <c r="E41"/>
  <c r="E40"/>
  <c r="E38"/>
  <c r="E37"/>
  <c r="E36"/>
  <c r="E34"/>
  <c r="E33"/>
  <c r="E32"/>
  <c r="E30"/>
  <c r="E29"/>
  <c r="E28"/>
  <c r="E26"/>
  <c r="E25"/>
  <c r="E24"/>
  <c r="E22"/>
  <c r="E21"/>
  <c r="E20"/>
  <c r="E18"/>
  <c r="E17"/>
  <c r="E16"/>
  <c r="E54" i="88"/>
  <c r="E53"/>
  <c r="E52"/>
  <c r="E50"/>
  <c r="E49"/>
  <c r="E48"/>
  <c r="E46"/>
  <c r="E45"/>
  <c r="E44"/>
  <c r="E42"/>
  <c r="E41"/>
  <c r="E40"/>
  <c r="E38"/>
  <c r="E37"/>
  <c r="E36"/>
  <c r="E34"/>
  <c r="E33"/>
  <c r="E32"/>
  <c r="E30"/>
  <c r="E29"/>
  <c r="E28"/>
  <c r="E26"/>
  <c r="E25"/>
  <c r="E24"/>
  <c r="E22"/>
  <c r="E21"/>
  <c r="E20"/>
  <c r="E18"/>
  <c r="E17"/>
  <c r="E16"/>
  <c r="E48" i="87"/>
  <c r="E47"/>
  <c r="E46"/>
  <c r="E44"/>
  <c r="E43"/>
  <c r="E42"/>
  <c r="E40"/>
  <c r="E39"/>
  <c r="E38"/>
  <c r="E36"/>
  <c r="E35"/>
  <c r="E34"/>
  <c r="E32"/>
  <c r="E31"/>
  <c r="E30"/>
  <c r="E28"/>
  <c r="E27"/>
  <c r="E26"/>
  <c r="E24"/>
  <c r="E23"/>
  <c r="E22"/>
  <c r="E20"/>
  <c r="E19"/>
  <c r="E18"/>
  <c r="J16"/>
  <c r="I16"/>
  <c r="H16"/>
  <c r="G16"/>
  <c r="F16"/>
  <c r="E16" s="1"/>
  <c r="E15"/>
  <c r="E14"/>
  <c r="E58" i="86"/>
  <c r="E57"/>
  <c r="E56"/>
  <c r="E54"/>
  <c r="E53"/>
  <c r="E52"/>
  <c r="E50"/>
  <c r="E49"/>
  <c r="E48"/>
  <c r="E46"/>
  <c r="E45"/>
  <c r="E44"/>
  <c r="E42"/>
  <c r="E41"/>
  <c r="E40"/>
  <c r="E38"/>
  <c r="E37"/>
  <c r="E36"/>
  <c r="E34"/>
  <c r="E33"/>
  <c r="E32"/>
  <c r="E30"/>
  <c r="E29"/>
  <c r="E28"/>
  <c r="E26"/>
  <c r="E25"/>
  <c r="E24"/>
  <c r="E22"/>
  <c r="E21"/>
  <c r="E20"/>
  <c r="E18"/>
  <c r="E17"/>
  <c r="E16"/>
  <c r="E52" i="85"/>
  <c r="E51"/>
  <c r="E50"/>
  <c r="E48"/>
  <c r="E47"/>
  <c r="E46"/>
  <c r="E44"/>
  <c r="E43"/>
  <c r="E42"/>
  <c r="E40"/>
  <c r="E39"/>
  <c r="E38"/>
  <c r="E36"/>
  <c r="E35"/>
  <c r="E34"/>
  <c r="E32"/>
  <c r="E31"/>
  <c r="E30"/>
  <c r="E28"/>
  <c r="E27"/>
  <c r="E26"/>
  <c r="E24"/>
  <c r="E23"/>
  <c r="E22"/>
  <c r="E20"/>
  <c r="E19"/>
  <c r="E18"/>
  <c r="J16"/>
  <c r="I16"/>
  <c r="H16"/>
  <c r="G16"/>
  <c r="F16"/>
  <c r="E16" s="1"/>
  <c r="E15"/>
  <c r="E14"/>
  <c r="E53" i="84"/>
  <c r="E52"/>
  <c r="E51"/>
  <c r="E49"/>
  <c r="E48"/>
  <c r="E47"/>
  <c r="E45"/>
  <c r="E44"/>
  <c r="E43"/>
  <c r="E41"/>
  <c r="E40"/>
  <c r="E39"/>
  <c r="E37"/>
  <c r="E36"/>
  <c r="E35"/>
  <c r="I33"/>
  <c r="H33"/>
  <c r="G33"/>
  <c r="F33"/>
  <c r="E33" s="1"/>
  <c r="E32"/>
  <c r="E31"/>
  <c r="E28"/>
  <c r="E27"/>
  <c r="E26"/>
  <c r="E24"/>
  <c r="E23"/>
  <c r="E22"/>
  <c r="E20"/>
  <c r="E19"/>
  <c r="E18"/>
  <c r="I16"/>
  <c r="H16"/>
  <c r="G16"/>
  <c r="F16"/>
  <c r="E16"/>
  <c r="E15"/>
  <c r="E14"/>
  <c r="E76" i="83"/>
  <c r="E75"/>
  <c r="E74"/>
  <c r="E72"/>
  <c r="E71"/>
  <c r="E70"/>
  <c r="E68"/>
  <c r="E67"/>
  <c r="E66"/>
  <c r="E64"/>
  <c r="E63"/>
  <c r="E62"/>
  <c r="E60"/>
  <c r="E59"/>
  <c r="E58"/>
  <c r="E56"/>
  <c r="E55"/>
  <c r="E54"/>
  <c r="E52"/>
  <c r="E51"/>
  <c r="E50"/>
  <c r="E48"/>
  <c r="E47"/>
  <c r="E46"/>
  <c r="E44"/>
  <c r="E43"/>
  <c r="E42"/>
  <c r="E40"/>
  <c r="E39"/>
  <c r="E38"/>
  <c r="E36"/>
  <c r="E35"/>
  <c r="E34"/>
  <c r="E32"/>
  <c r="E31"/>
  <c r="E30"/>
  <c r="E28"/>
  <c r="E27"/>
  <c r="E26"/>
  <c r="E24"/>
  <c r="E23"/>
  <c r="E22"/>
  <c r="E20"/>
  <c r="E19"/>
  <c r="E18"/>
  <c r="I16"/>
  <c r="H16"/>
  <c r="G16"/>
  <c r="F16"/>
  <c r="E16"/>
  <c r="E15"/>
  <c r="E14"/>
  <c r="E60" i="82"/>
  <c r="E59"/>
  <c r="E58"/>
  <c r="E56"/>
  <c r="E55"/>
  <c r="E54"/>
  <c r="E52"/>
  <c r="E51"/>
  <c r="E50"/>
  <c r="E48"/>
  <c r="E47"/>
  <c r="E46"/>
  <c r="E44"/>
  <c r="E43"/>
  <c r="E42"/>
  <c r="E40"/>
  <c r="E39"/>
  <c r="E38"/>
  <c r="E36"/>
  <c r="E35"/>
  <c r="E34"/>
  <c r="E32"/>
  <c r="E31"/>
  <c r="E30"/>
  <c r="E28"/>
  <c r="E27"/>
  <c r="E26"/>
  <c r="E24"/>
  <c r="E23"/>
  <c r="E22"/>
  <c r="E20"/>
  <c r="E19"/>
  <c r="E18"/>
  <c r="I16"/>
  <c r="H16"/>
  <c r="G16"/>
  <c r="F16"/>
  <c r="E16"/>
  <c r="E15"/>
  <c r="E14"/>
  <c r="E65" i="81"/>
  <c r="E64"/>
  <c r="E63"/>
  <c r="E61"/>
  <c r="E60"/>
  <c r="E59"/>
  <c r="E57"/>
  <c r="E56"/>
  <c r="E55"/>
  <c r="E53"/>
  <c r="E52"/>
  <c r="E51"/>
  <c r="E49"/>
  <c r="E48"/>
  <c r="E47"/>
  <c r="E45"/>
  <c r="E44"/>
  <c r="E43"/>
  <c r="E41"/>
  <c r="E40"/>
  <c r="E39"/>
  <c r="E37"/>
  <c r="E36"/>
  <c r="E35"/>
  <c r="I33"/>
  <c r="H33"/>
  <c r="G33"/>
  <c r="F33"/>
  <c r="E33" s="1"/>
  <c r="E32"/>
  <c r="E31"/>
  <c r="E28"/>
  <c r="E27"/>
  <c r="E26"/>
  <c r="E24"/>
  <c r="E23"/>
  <c r="E22"/>
  <c r="E20"/>
  <c r="E19"/>
  <c r="E18"/>
  <c r="I16"/>
  <c r="H16"/>
  <c r="G16"/>
  <c r="E16" s="1"/>
  <c r="F16"/>
  <c r="E15"/>
  <c r="E14"/>
  <c r="E56" i="80"/>
  <c r="E55"/>
  <c r="E54"/>
  <c r="E52"/>
  <c r="E51"/>
  <c r="E50"/>
  <c r="E48"/>
  <c r="E47"/>
  <c r="E46"/>
  <c r="E44"/>
  <c r="E43"/>
  <c r="E42"/>
  <c r="E40"/>
  <c r="E39"/>
  <c r="E38"/>
  <c r="E36"/>
  <c r="E35"/>
  <c r="E34"/>
  <c r="E32"/>
  <c r="E31"/>
  <c r="E30"/>
  <c r="E28"/>
  <c r="E27"/>
  <c r="E26"/>
  <c r="E24"/>
  <c r="E23"/>
  <c r="E22"/>
  <c r="E20"/>
  <c r="E19"/>
  <c r="E18"/>
  <c r="I16"/>
  <c r="H16"/>
  <c r="G16"/>
  <c r="F16"/>
  <c r="E16"/>
  <c r="E15"/>
  <c r="E14"/>
  <c r="E60" i="79"/>
  <c r="E59"/>
  <c r="E58"/>
  <c r="E56"/>
  <c r="E55"/>
  <c r="E54"/>
  <c r="E52"/>
  <c r="E51"/>
  <c r="E50"/>
  <c r="E48"/>
  <c r="E47"/>
  <c r="E46"/>
  <c r="E44"/>
  <c r="E43"/>
  <c r="E42"/>
  <c r="E40"/>
  <c r="E39"/>
  <c r="E38"/>
  <c r="E36"/>
  <c r="E35"/>
  <c r="E34"/>
  <c r="E32"/>
  <c r="E31"/>
  <c r="E30"/>
  <c r="E28"/>
  <c r="E27"/>
  <c r="E26"/>
  <c r="E24"/>
  <c r="E23"/>
  <c r="E22"/>
  <c r="E20"/>
  <c r="E19"/>
  <c r="E18"/>
  <c r="I16"/>
  <c r="H16"/>
  <c r="G16"/>
  <c r="F16"/>
  <c r="E16"/>
  <c r="E15"/>
  <c r="E14"/>
  <c r="E72" i="78"/>
  <c r="E71"/>
  <c r="E70"/>
  <c r="E68"/>
  <c r="E67"/>
  <c r="E66"/>
  <c r="E64"/>
  <c r="E63"/>
  <c r="E62"/>
  <c r="E60"/>
  <c r="E59"/>
  <c r="E58"/>
  <c r="E56"/>
  <c r="E55"/>
  <c r="E54"/>
  <c r="E52"/>
  <c r="E51"/>
  <c r="E50"/>
  <c r="E48"/>
  <c r="E47"/>
  <c r="E46"/>
  <c r="E44"/>
  <c r="E43"/>
  <c r="E42"/>
  <c r="E40"/>
  <c r="E39"/>
  <c r="E38"/>
  <c r="E36"/>
  <c r="E35"/>
  <c r="E34"/>
  <c r="E32"/>
  <c r="E31"/>
  <c r="E30"/>
  <c r="E28"/>
  <c r="E27"/>
  <c r="E26"/>
  <c r="E24"/>
  <c r="E20"/>
  <c r="E16" s="1"/>
  <c r="E19"/>
  <c r="E18"/>
  <c r="I16"/>
  <c r="H16"/>
  <c r="G16"/>
  <c r="F16"/>
  <c r="E15"/>
  <c r="E14"/>
  <c r="G70" i="77"/>
  <c r="E70"/>
  <c r="K66"/>
  <c r="F66"/>
  <c r="E66" s="1"/>
  <c r="E14" s="1"/>
  <c r="E64"/>
  <c r="E62"/>
  <c r="E60"/>
  <c r="E58"/>
  <c r="E56"/>
  <c r="E54"/>
  <c r="E50"/>
  <c r="E48"/>
  <c r="E46"/>
  <c r="E44"/>
  <c r="E42"/>
  <c r="E40"/>
  <c r="E38"/>
  <c r="E36"/>
  <c r="E34"/>
  <c r="E32"/>
  <c r="K30"/>
  <c r="G30"/>
  <c r="F30"/>
  <c r="E30"/>
  <c r="E28"/>
  <c r="E26"/>
  <c r="E24"/>
  <c r="E22"/>
  <c r="E20"/>
  <c r="E18"/>
  <c r="E16"/>
  <c r="K14"/>
  <c r="J14"/>
  <c r="I14"/>
  <c r="H14"/>
  <c r="G14"/>
  <c r="F14"/>
  <c r="K13"/>
  <c r="J13"/>
  <c r="I13"/>
  <c r="H13"/>
  <c r="G13"/>
  <c r="F13"/>
  <c r="E13"/>
  <c r="K12"/>
  <c r="J12"/>
  <c r="I12"/>
  <c r="H12"/>
  <c r="G12"/>
  <c r="F12"/>
  <c r="E12"/>
  <c r="E69" i="76"/>
  <c r="E65"/>
  <c r="E61"/>
  <c r="E57"/>
  <c r="E53"/>
  <c r="E49"/>
  <c r="E45"/>
  <c r="E41"/>
  <c r="E37"/>
  <c r="E33"/>
  <c r="E29"/>
  <c r="E25"/>
  <c r="E21"/>
  <c r="E17"/>
  <c r="J14"/>
  <c r="I13"/>
  <c r="H13"/>
  <c r="G13"/>
  <c r="F13"/>
  <c r="E13"/>
  <c r="I12"/>
  <c r="H12"/>
  <c r="G12"/>
  <c r="F12"/>
  <c r="E12"/>
  <c r="I11"/>
  <c r="H11"/>
  <c r="G11"/>
  <c r="F11"/>
  <c r="E11"/>
  <c r="E69" i="75"/>
  <c r="E65"/>
  <c r="E64"/>
  <c r="E61"/>
  <c r="E57"/>
  <c r="E53"/>
  <c r="E49"/>
  <c r="E45"/>
  <c r="E41"/>
  <c r="E37"/>
  <c r="E33"/>
  <c r="E29"/>
  <c r="E25"/>
  <c r="E21"/>
  <c r="E17"/>
  <c r="G13"/>
  <c r="F13"/>
  <c r="E13"/>
  <c r="G12"/>
  <c r="F12"/>
  <c r="E12"/>
  <c r="G11"/>
  <c r="F11"/>
  <c r="E11"/>
  <c r="E32" i="99" l="1"/>
  <c r="E15" i="97"/>
  <c r="F15" i="106"/>
  <c r="E15" s="1"/>
  <c r="F15" i="107"/>
  <c r="E15" s="1"/>
  <c r="E27" i="97"/>
  <c r="K32" i="99"/>
  <c r="E73" i="72" l="1"/>
  <c r="E69"/>
  <c r="E65"/>
  <c r="E61"/>
  <c r="E57"/>
  <c r="E53"/>
  <c r="E49"/>
  <c r="E45"/>
  <c r="E41"/>
  <c r="E37"/>
  <c r="E33"/>
  <c r="E29"/>
  <c r="E25"/>
  <c r="E21"/>
  <c r="E17"/>
  <c r="E53" i="64"/>
  <c r="E49"/>
  <c r="E45"/>
  <c r="E41"/>
  <c r="E37"/>
  <c r="E33"/>
  <c r="E29"/>
  <c r="E25"/>
  <c r="E21"/>
  <c r="E17"/>
  <c r="E13"/>
  <c r="E49" i="63"/>
  <c r="E45"/>
  <c r="E41"/>
  <c r="E37"/>
  <c r="E33"/>
  <c r="E29"/>
  <c r="E25"/>
  <c r="E21"/>
  <c r="E17"/>
  <c r="E27" i="70"/>
  <c r="E15" i="71"/>
  <c r="E13" i="57"/>
  <c r="G13" l="1"/>
  <c r="F13"/>
  <c r="E53"/>
  <c r="E49"/>
  <c r="E45"/>
  <c r="E41"/>
  <c r="E37"/>
  <c r="E33"/>
  <c r="E29"/>
  <c r="E25"/>
  <c r="E21"/>
  <c r="E17"/>
  <c r="G13" i="74" l="1"/>
  <c r="F13"/>
  <c r="E13" s="1"/>
  <c r="E37"/>
  <c r="E33"/>
  <c r="E29"/>
  <c r="E25"/>
  <c r="E21"/>
  <c r="E17"/>
  <c r="G13" i="73"/>
  <c r="F13"/>
  <c r="E41"/>
  <c r="E37"/>
  <c r="E33"/>
  <c r="E29"/>
  <c r="E25"/>
  <c r="E21"/>
  <c r="E17"/>
  <c r="G13" i="47"/>
  <c r="E13" s="1"/>
  <c r="F13"/>
  <c r="G13" i="59"/>
  <c r="F13"/>
  <c r="E13" s="1"/>
  <c r="E57"/>
  <c r="E53"/>
  <c r="E49"/>
  <c r="E45"/>
  <c r="E41"/>
  <c r="E37"/>
  <c r="E33"/>
  <c r="E25"/>
  <c r="E21"/>
  <c r="E17"/>
  <c r="G30" i="58"/>
  <c r="F30"/>
  <c r="E62"/>
  <c r="E58"/>
  <c r="E54"/>
  <c r="E50"/>
  <c r="E46"/>
  <c r="E42"/>
  <c r="E38"/>
  <c r="E34"/>
  <c r="E30"/>
  <c r="G13"/>
  <c r="F13"/>
  <c r="E25"/>
  <c r="E21"/>
  <c r="E17"/>
  <c r="E13"/>
  <c r="E13" i="73" l="1"/>
  <c r="F13" i="56"/>
  <c r="G13"/>
  <c r="F13" i="55" l="1"/>
  <c r="E21"/>
  <c r="E23"/>
  <c r="E32" i="58"/>
  <c r="E61" l="1"/>
  <c r="E60"/>
  <c r="E57"/>
  <c r="E56"/>
  <c r="E53"/>
  <c r="E52"/>
  <c r="E49"/>
  <c r="E48"/>
  <c r="E45"/>
  <c r="E44"/>
  <c r="E41"/>
  <c r="E40"/>
  <c r="E28" s="1"/>
  <c r="E37"/>
  <c r="E29" s="1"/>
  <c r="E36"/>
  <c r="E33"/>
  <c r="E24"/>
  <c r="E23"/>
  <c r="E20"/>
  <c r="E19"/>
  <c r="E16"/>
  <c r="E15"/>
  <c r="E15" i="57"/>
  <c r="E16"/>
  <c r="E19"/>
  <c r="E20"/>
  <c r="E23"/>
  <c r="E24"/>
  <c r="E27"/>
  <c r="E28"/>
  <c r="E31"/>
  <c r="E32"/>
  <c r="E35"/>
  <c r="E36"/>
  <c r="E39"/>
  <c r="E40"/>
  <c r="E43"/>
  <c r="E44"/>
  <c r="E47"/>
  <c r="E48"/>
  <c r="E51"/>
  <c r="E52"/>
  <c r="E15" i="56"/>
  <c r="E16"/>
  <c r="E17"/>
  <c r="E19"/>
  <c r="E20"/>
  <c r="E21"/>
  <c r="E23"/>
  <c r="E24"/>
  <c r="E25"/>
  <c r="E27"/>
  <c r="E28"/>
  <c r="E29"/>
  <c r="E13" s="1"/>
  <c r="E31"/>
  <c r="E32"/>
  <c r="E33"/>
  <c r="E35"/>
  <c r="E36"/>
  <c r="E37"/>
  <c r="E39"/>
  <c r="E40"/>
  <c r="E41"/>
  <c r="E43"/>
  <c r="E44"/>
  <c r="E45"/>
  <c r="E47"/>
  <c r="E48"/>
  <c r="E49"/>
  <c r="E51"/>
  <c r="E52"/>
  <c r="E53"/>
  <c r="E55"/>
  <c r="E56"/>
  <c r="E57"/>
  <c r="E24" i="55"/>
  <c r="E25"/>
  <c r="E27"/>
  <c r="E28"/>
  <c r="E29"/>
  <c r="E31"/>
  <c r="E32"/>
  <c r="E33"/>
  <c r="E35"/>
  <c r="E36"/>
  <c r="E37"/>
  <c r="E39"/>
  <c r="E40"/>
  <c r="E41"/>
  <c r="E43"/>
  <c r="E44"/>
  <c r="E45"/>
  <c r="E47"/>
  <c r="E48"/>
  <c r="E49"/>
  <c r="E51"/>
  <c r="E52"/>
  <c r="E53"/>
  <c r="E55"/>
  <c r="E56"/>
  <c r="E57"/>
  <c r="E59"/>
  <c r="E60"/>
  <c r="E61"/>
  <c r="E63"/>
  <c r="E64"/>
  <c r="E65"/>
  <c r="E67"/>
  <c r="E68"/>
  <c r="E69"/>
  <c r="E17"/>
  <c r="E16"/>
  <c r="E15"/>
  <c r="E12" i="63"/>
  <c r="F11"/>
  <c r="E11"/>
  <c r="F13" i="69"/>
  <c r="G13"/>
  <c r="F12"/>
  <c r="G12"/>
  <c r="F11"/>
  <c r="G11"/>
  <c r="E12"/>
  <c r="E13"/>
  <c r="E11"/>
  <c r="F12" i="63"/>
  <c r="G12" i="57"/>
  <c r="F12" i="56"/>
  <c r="G12"/>
  <c r="F11"/>
  <c r="G11"/>
  <c r="E11"/>
  <c r="G12" i="55"/>
  <c r="F12"/>
  <c r="F11"/>
  <c r="G11"/>
  <c r="G13"/>
  <c r="E12"/>
  <c r="G12" i="74"/>
  <c r="F12"/>
  <c r="G11"/>
  <c r="F11"/>
  <c r="E12"/>
  <c r="E11"/>
  <c r="G12" i="73"/>
  <c r="F12"/>
  <c r="G11"/>
  <c r="F11"/>
  <c r="E12"/>
  <c r="E11"/>
  <c r="G13" i="72"/>
  <c r="F13"/>
  <c r="G12"/>
  <c r="F12"/>
  <c r="G11"/>
  <c r="F11"/>
  <c r="E12"/>
  <c r="E13"/>
  <c r="E11"/>
  <c r="G13" i="63"/>
  <c r="F13"/>
  <c r="E13" s="1"/>
  <c r="G12"/>
  <c r="G11"/>
  <c r="G30" i="47"/>
  <c r="F30"/>
  <c r="G29"/>
  <c r="F29"/>
  <c r="G28"/>
  <c r="F28"/>
  <c r="E29"/>
  <c r="E30"/>
  <c r="G12"/>
  <c r="F12"/>
  <c r="G11"/>
  <c r="F11"/>
  <c r="E12"/>
  <c r="E11"/>
  <c r="G13" i="46"/>
  <c r="F13"/>
  <c r="G12"/>
  <c r="F12"/>
  <c r="G11"/>
  <c r="F11"/>
  <c r="E12"/>
  <c r="E13"/>
  <c r="E11"/>
  <c r="G12" i="59"/>
  <c r="F12"/>
  <c r="G11"/>
  <c r="F11"/>
  <c r="E12"/>
  <c r="E11"/>
  <c r="G29" i="58"/>
  <c r="F29"/>
  <c r="G28"/>
  <c r="F28"/>
  <c r="G12"/>
  <c r="F12"/>
  <c r="G11"/>
  <c r="F11"/>
  <c r="E12"/>
  <c r="E11"/>
  <c r="F12" i="57"/>
  <c r="G11"/>
  <c r="F11"/>
  <c r="E13" i="55" l="1"/>
  <c r="E11"/>
  <c r="E12" i="56"/>
  <c r="E12" i="57"/>
  <c r="E11"/>
  <c r="E28" i="47"/>
</calcChain>
</file>

<file path=xl/sharedStrings.xml><?xml version="1.0" encoding="utf-8"?>
<sst xmlns="http://schemas.openxmlformats.org/spreadsheetml/2006/main" count="1881" uniqueCount="246">
  <si>
    <t>Sumber: Polis DiRaja Malaysia</t>
  </si>
  <si>
    <t>Source: Royal Malaysia Police</t>
  </si>
  <si>
    <t>Batu Pahat</t>
  </si>
  <si>
    <t>Kluang</t>
  </si>
  <si>
    <t>Kota Tinggi</t>
  </si>
  <si>
    <t>Mersing</t>
  </si>
  <si>
    <t>Muar</t>
  </si>
  <si>
    <t>Pontian</t>
  </si>
  <si>
    <t>Segamat</t>
  </si>
  <si>
    <t>Kulaijaya</t>
  </si>
  <si>
    <t>Ledang</t>
  </si>
  <si>
    <t>Bachok</t>
  </si>
  <si>
    <t>Kota Bharu</t>
  </si>
  <si>
    <t>Machang</t>
  </si>
  <si>
    <t>Pasir Mas</t>
  </si>
  <si>
    <t>Pasir Puteh</t>
  </si>
  <si>
    <t>Tanah Merah</t>
  </si>
  <si>
    <t>Tumpat</t>
  </si>
  <si>
    <t>Gua Musang</t>
  </si>
  <si>
    <t>Kuala Krai</t>
  </si>
  <si>
    <t>Jeli</t>
  </si>
  <si>
    <t>Alor Gajah</t>
  </si>
  <si>
    <t>Jasin</t>
  </si>
  <si>
    <t>Melaka Tengah</t>
  </si>
  <si>
    <t>Jelebu</t>
  </si>
  <si>
    <t>Kuala Pilah</t>
  </si>
  <si>
    <t>Port Dickson</t>
  </si>
  <si>
    <t>Rembau</t>
  </si>
  <si>
    <t>Seremban</t>
  </si>
  <si>
    <t>Tampin</t>
  </si>
  <si>
    <t>Jempol</t>
  </si>
  <si>
    <t>Negeri Sembilan</t>
  </si>
  <si>
    <t>Bentong</t>
  </si>
  <si>
    <t>Cameron Highland</t>
  </si>
  <si>
    <t>Jerantut</t>
  </si>
  <si>
    <t>Kuantan</t>
  </si>
  <si>
    <t>Kuala Lipis</t>
  </si>
  <si>
    <t xml:space="preserve">Pekan </t>
  </si>
  <si>
    <t>Raub</t>
  </si>
  <si>
    <t>Temerloh</t>
  </si>
  <si>
    <t>Rompin</t>
  </si>
  <si>
    <t>Maran</t>
  </si>
  <si>
    <t>Bera</t>
  </si>
  <si>
    <t>Manjung</t>
  </si>
  <si>
    <t>Kerian</t>
  </si>
  <si>
    <t>Kuala Kangsar</t>
  </si>
  <si>
    <t>Hilir Perak</t>
  </si>
  <si>
    <t>Perak Tengah</t>
  </si>
  <si>
    <t>Kampar</t>
  </si>
  <si>
    <t>Perlis</t>
  </si>
  <si>
    <t>Pulau Pinang</t>
  </si>
  <si>
    <t>-</t>
  </si>
  <si>
    <t>Iskandar Puteri</t>
  </si>
  <si>
    <t>Johor Bahru Selatan</t>
  </si>
  <si>
    <t>Johor Bahru Utara</t>
  </si>
  <si>
    <t>Nusajaya</t>
  </si>
  <si>
    <t>Seri Alam</t>
  </si>
  <si>
    <t xml:space="preserve">Baling </t>
  </si>
  <si>
    <t xml:space="preserve">Bandar Bharu </t>
  </si>
  <si>
    <t xml:space="preserve">Kota Setar </t>
  </si>
  <si>
    <t xml:space="preserve">Kuala Muda </t>
  </si>
  <si>
    <t xml:space="preserve">Kubang Pasu </t>
  </si>
  <si>
    <t xml:space="preserve">Kulim </t>
  </si>
  <si>
    <t xml:space="preserve">Langkawi </t>
  </si>
  <si>
    <t xml:space="preserve">Padang Terap </t>
  </si>
  <si>
    <t xml:space="preserve">Pendang </t>
  </si>
  <si>
    <t xml:space="preserve">Sik </t>
  </si>
  <si>
    <t xml:space="preserve">Yan </t>
  </si>
  <si>
    <t>Nilai</t>
  </si>
  <si>
    <t>Batu Gajah</t>
  </si>
  <si>
    <t>Gerik</t>
  </si>
  <si>
    <t>Ipoh</t>
  </si>
  <si>
    <t>Pengkalan Hulu</t>
  </si>
  <si>
    <t>Selama</t>
  </si>
  <si>
    <t>Sungai Siput</t>
  </si>
  <si>
    <t>Taiping</t>
  </si>
  <si>
    <t>Tanjong Malim</t>
  </si>
  <si>
    <t>Tapah</t>
  </si>
  <si>
    <t>Arau</t>
  </si>
  <si>
    <t>Kangar</t>
  </si>
  <si>
    <t>Padang Besar</t>
  </si>
  <si>
    <t xml:space="preserve">Brickfields </t>
  </si>
  <si>
    <t xml:space="preserve">Cheras </t>
  </si>
  <si>
    <t xml:space="preserve">Dang Wangi </t>
  </si>
  <si>
    <t xml:space="preserve">Sentul </t>
  </si>
  <si>
    <t xml:space="preserve">Wangsa Maju </t>
  </si>
  <si>
    <t xml:space="preserve">W.P. Putrajaya </t>
  </si>
  <si>
    <t>Barat Daya</t>
  </si>
  <si>
    <t>Seberang Perai Selatan</t>
  </si>
  <si>
    <t xml:space="preserve">Seberang Perai Tengah </t>
  </si>
  <si>
    <t xml:space="preserve">Seberang Perai Utara </t>
  </si>
  <si>
    <t>Timur Laut</t>
  </si>
  <si>
    <t>Jadual 1.2</t>
  </si>
  <si>
    <t>Table 1.2</t>
  </si>
  <si>
    <t>: Jenayah indeks mengikut kontinjen, daerah PDRM dan jenis jenayah, Malaysia, 2015─2017</t>
  </si>
  <si>
    <r>
      <t xml:space="preserve">Jumlah
</t>
    </r>
    <r>
      <rPr>
        <i/>
        <sz val="10"/>
        <rFont val="Arial"/>
        <family val="2"/>
      </rPr>
      <t>Total</t>
    </r>
  </si>
  <si>
    <r>
      <rPr>
        <b/>
        <sz val="10"/>
        <rFont val="Arial"/>
        <family val="2"/>
      </rPr>
      <t xml:space="preserve">Jenayah kekerasan
</t>
    </r>
    <r>
      <rPr>
        <i/>
        <sz val="10"/>
        <rFont val="Arial"/>
        <family val="2"/>
      </rPr>
      <t>Violent crime</t>
    </r>
  </si>
  <si>
    <r>
      <rPr>
        <b/>
        <sz val="10"/>
        <rFont val="Arial"/>
        <family val="2"/>
      </rPr>
      <t xml:space="preserve">Jenayah harta benda
</t>
    </r>
    <r>
      <rPr>
        <i/>
        <sz val="10"/>
        <rFont val="Arial"/>
        <family val="2"/>
      </rPr>
      <t>Property crime</t>
    </r>
  </si>
  <si>
    <r>
      <t xml:space="preserve">Kontingen/Daerah
</t>
    </r>
    <r>
      <rPr>
        <i/>
        <sz val="10"/>
        <rFont val="Arial"/>
        <family val="2"/>
      </rPr>
      <t>Contingent/Territory</t>
    </r>
  </si>
  <si>
    <t>Johor</t>
  </si>
  <si>
    <r>
      <t xml:space="preserve">Tahun
</t>
    </r>
    <r>
      <rPr>
        <i/>
        <sz val="10"/>
        <rFont val="Arial"/>
        <family val="2"/>
      </rPr>
      <t>Year</t>
    </r>
  </si>
  <si>
    <r>
      <t>: Crime index by contingent, PDRM territory and type of crime, Malaysia, 2015</t>
    </r>
    <r>
      <rPr>
        <sz val="10"/>
        <rFont val="Calibri"/>
        <family val="2"/>
      </rPr>
      <t>─</t>
    </r>
    <r>
      <rPr>
        <i/>
        <sz val="10"/>
        <rFont val="Arial"/>
        <family val="2"/>
      </rPr>
      <t xml:space="preserve">2017
                  </t>
    </r>
  </si>
  <si>
    <t>Kedah</t>
  </si>
  <si>
    <t>Pahang</t>
  </si>
  <si>
    <t>Sumber: Polis Diraja Malaysia</t>
  </si>
  <si>
    <t>Selangor</t>
  </si>
  <si>
    <t xml:space="preserve">Ampang Jaya </t>
  </si>
  <si>
    <t>Gombak</t>
  </si>
  <si>
    <t>Hulu Selangor</t>
  </si>
  <si>
    <t>Kajang</t>
  </si>
  <si>
    <t>Klang Selatan</t>
  </si>
  <si>
    <t>Klang Utara</t>
  </si>
  <si>
    <t>Kuala Langat</t>
  </si>
  <si>
    <t>Kuala Selangor</t>
  </si>
  <si>
    <t>Petaling Jaya</t>
  </si>
  <si>
    <t>Sabak Bernam</t>
  </si>
  <si>
    <t>Sepang</t>
  </si>
  <si>
    <t>Serdang</t>
  </si>
  <si>
    <t>Sg. Buloh</t>
  </si>
  <si>
    <t>Shah Alam</t>
  </si>
  <si>
    <t>Subang Jaya</t>
  </si>
  <si>
    <t>Terengganu</t>
  </si>
  <si>
    <t>Besut</t>
  </si>
  <si>
    <t>Dungun</t>
  </si>
  <si>
    <t>Hulu Terengganu</t>
  </si>
  <si>
    <t>Kemaman</t>
  </si>
  <si>
    <t>Kuala Terengganu</t>
  </si>
  <si>
    <t>Marang</t>
  </si>
  <si>
    <t>Setiu</t>
  </si>
  <si>
    <t>Sarawak</t>
  </si>
  <si>
    <t>Bau</t>
  </si>
  <si>
    <t>Belaga</t>
  </si>
  <si>
    <t>Betong</t>
  </si>
  <si>
    <t>Bintulu</t>
  </si>
  <si>
    <t>Dalat</t>
  </si>
  <si>
    <t>Julau</t>
  </si>
  <si>
    <t>Kanowit</t>
  </si>
  <si>
    <t>Kapit</t>
  </si>
  <si>
    <t>Kota Samarahan</t>
  </si>
  <si>
    <t>Kuching</t>
  </si>
  <si>
    <t>Lawas</t>
  </si>
  <si>
    <t>Limbang</t>
  </si>
  <si>
    <t>Lubok Antu</t>
  </si>
  <si>
    <t>Lundu</t>
  </si>
  <si>
    <t>Marudi</t>
  </si>
  <si>
    <t xml:space="preserve">Matu Daro </t>
  </si>
  <si>
    <t>Meradong</t>
  </si>
  <si>
    <t>Miri</t>
  </si>
  <si>
    <t>Mukah</t>
  </si>
  <si>
    <t>Padawan</t>
  </si>
  <si>
    <t>Saratok</t>
  </si>
  <si>
    <t>Sarikei</t>
  </si>
  <si>
    <t>Serian</t>
  </si>
  <si>
    <t>Sibu</t>
  </si>
  <si>
    <t>Simunjan</t>
  </si>
  <si>
    <t>Song</t>
  </si>
  <si>
    <t>Sri Aman</t>
  </si>
  <si>
    <t>Tatau</t>
  </si>
  <si>
    <t>Sabah</t>
  </si>
  <si>
    <t>Beaufort</t>
  </si>
  <si>
    <t>Beluran</t>
  </si>
  <si>
    <t>Keningau</t>
  </si>
  <si>
    <t>Kota Belud</t>
  </si>
  <si>
    <t>Kota Kinabalu</t>
  </si>
  <si>
    <t>Kota Kinabatangan</t>
  </si>
  <si>
    <t>Kota Marudu</t>
  </si>
  <si>
    <t>Kudat</t>
  </si>
  <si>
    <t>Kunak</t>
  </si>
  <si>
    <t>Lahad Datu</t>
  </si>
  <si>
    <t>Papar</t>
  </si>
  <si>
    <t>Penampang</t>
  </si>
  <si>
    <t>Ranau</t>
  </si>
  <si>
    <t>Sandakan</t>
  </si>
  <si>
    <t>Semporna</t>
  </si>
  <si>
    <t>Sipitang</t>
  </si>
  <si>
    <t>Tawau</t>
  </si>
  <si>
    <t>Tenom</t>
  </si>
  <si>
    <t>Tuaran</t>
  </si>
  <si>
    <t>W.P. Labuan</t>
  </si>
  <si>
    <t>: Jenayah indeks mengikut kontinjen, daerah PDRM dan jenis jenayah, Malaysia, 2015─2017 (samb.)</t>
  </si>
  <si>
    <r>
      <t>: Crime index by contingent, PDRM territory and type of crime, Malaysia, 2015</t>
    </r>
    <r>
      <rPr>
        <sz val="10"/>
        <rFont val="Calibri"/>
        <family val="2"/>
      </rPr>
      <t>─</t>
    </r>
    <r>
      <rPr>
        <i/>
        <sz val="10"/>
        <rFont val="Arial"/>
        <family val="2"/>
      </rPr>
      <t xml:space="preserve">2017 (cont'd)
                  </t>
    </r>
  </si>
  <si>
    <t xml:space="preserve">  Sabah (samb.)</t>
  </si>
  <si>
    <t>Perak</t>
  </si>
  <si>
    <t>W.P. Kuala Lumpur</t>
  </si>
  <si>
    <t xml:space="preserve">Kelantan </t>
  </si>
  <si>
    <t xml:space="preserve">Melaka </t>
  </si>
  <si>
    <t>Sarawak (samb.)</t>
  </si>
  <si>
    <t>OK</t>
  </si>
  <si>
    <t>JENAYAH INDEKS</t>
  </si>
  <si>
    <t>CRIME INDEX</t>
  </si>
  <si>
    <t>Jadual 1.1</t>
  </si>
  <si>
    <r>
      <t>: Jenayah indeks mengikut negeri, Malaysia, 2015</t>
    </r>
    <r>
      <rPr>
        <b/>
        <sz val="10"/>
        <rFont val="Calibri"/>
        <family val="2"/>
      </rPr>
      <t>─</t>
    </r>
    <r>
      <rPr>
        <b/>
        <sz val="10"/>
        <rFont val="Arial"/>
        <family val="2"/>
      </rPr>
      <t>2017</t>
    </r>
  </si>
  <si>
    <t>Table 1.1</t>
  </si>
  <si>
    <r>
      <t>: Crime index by state, Malaysia, 2015</t>
    </r>
    <r>
      <rPr>
        <sz val="10"/>
        <rFont val="Calibri"/>
        <family val="2"/>
      </rPr>
      <t>─</t>
    </r>
    <r>
      <rPr>
        <i/>
        <sz val="10"/>
        <rFont val="Arial"/>
        <family val="2"/>
      </rPr>
      <t xml:space="preserve">2017
                  </t>
    </r>
  </si>
  <si>
    <r>
      <rPr>
        <b/>
        <sz val="10"/>
        <rFont val="Arial"/>
        <family val="2"/>
      </rPr>
      <t>Negeri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State</t>
    </r>
  </si>
  <si>
    <t>Malaysia</t>
  </si>
  <si>
    <t>Kelantan</t>
  </si>
  <si>
    <t>Melaka</t>
  </si>
  <si>
    <r>
      <rPr>
        <b/>
        <sz val="8"/>
        <rFont val="Arial"/>
        <family val="2"/>
      </rPr>
      <t>Nota/</t>
    </r>
    <r>
      <rPr>
        <sz val="8"/>
        <rFont val="Arial"/>
        <family val="2"/>
      </rPr>
      <t>Note:</t>
    </r>
  </si>
  <si>
    <t>1. W.P. Kuala Lumpur termasuk W.P. Putrajaya</t>
  </si>
  <si>
    <t xml:space="preserve">    W.P. Kuala Lumpur includes W.P. Putrajaya</t>
  </si>
  <si>
    <t>2. Sabah termasuk W.P. Labuan</t>
  </si>
  <si>
    <t xml:space="preserve">    Sabah includes W.P. Labuan</t>
  </si>
  <si>
    <t>Jadual 1.3</t>
  </si>
  <si>
    <r>
      <t>: Jenayah kekerasan mengikut negeri dan jenis jenayah, Malaysia, 2015</t>
    </r>
    <r>
      <rPr>
        <b/>
        <sz val="10"/>
        <rFont val="Calibri"/>
        <family val="2"/>
      </rPr>
      <t>─</t>
    </r>
    <r>
      <rPr>
        <b/>
        <sz val="10"/>
        <rFont val="Arial"/>
        <family val="2"/>
      </rPr>
      <t>2017</t>
    </r>
  </si>
  <si>
    <t>Table 1.3</t>
  </si>
  <si>
    <r>
      <t>: Violent crime by state and type of crime, Malaysia, 2015</t>
    </r>
    <r>
      <rPr>
        <sz val="10"/>
        <rFont val="Calibri"/>
        <family val="2"/>
      </rPr>
      <t>─</t>
    </r>
    <r>
      <rPr>
        <i/>
        <sz val="10"/>
        <rFont val="Arial"/>
        <family val="2"/>
      </rPr>
      <t xml:space="preserve">2017
                  </t>
    </r>
  </si>
  <si>
    <r>
      <rPr>
        <b/>
        <sz val="10"/>
        <rFont val="Arial"/>
        <family val="2"/>
      </rPr>
      <t xml:space="preserve">Bunuh
</t>
    </r>
    <r>
      <rPr>
        <i/>
        <sz val="10"/>
        <rFont val="Arial"/>
        <family val="2"/>
      </rPr>
      <t>Murder</t>
    </r>
  </si>
  <si>
    <r>
      <rPr>
        <b/>
        <sz val="10"/>
        <rFont val="Arial"/>
        <family val="2"/>
      </rPr>
      <t xml:space="preserve">Rogol           
</t>
    </r>
    <r>
      <rPr>
        <i/>
        <sz val="10"/>
        <rFont val="Arial"/>
        <family val="2"/>
      </rPr>
      <t>Rape</t>
    </r>
  </si>
  <si>
    <r>
      <rPr>
        <b/>
        <sz val="10"/>
        <rFont val="Arial"/>
        <family val="2"/>
      </rPr>
      <t xml:space="preserve">Samun </t>
    </r>
    <r>
      <rPr>
        <i/>
        <sz val="10"/>
        <rFont val="Arial"/>
        <family val="2"/>
      </rPr>
      <t>Robbery</t>
    </r>
  </si>
  <si>
    <r>
      <rPr>
        <b/>
        <sz val="10"/>
        <rFont val="Arial"/>
        <family val="2"/>
      </rPr>
      <t>Mencederakan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Causing injury</t>
    </r>
  </si>
  <si>
    <t>Jadual 1.5</t>
  </si>
  <si>
    <r>
      <t>: Jenayah harta benda mengikut negeri dan jenis jenayah, Malaysia, 2015</t>
    </r>
    <r>
      <rPr>
        <b/>
        <sz val="10"/>
        <rFont val="Calibri"/>
        <family val="2"/>
      </rPr>
      <t>─</t>
    </r>
    <r>
      <rPr>
        <b/>
        <sz val="10"/>
        <rFont val="Arial"/>
        <family val="2"/>
      </rPr>
      <t>2017</t>
    </r>
  </si>
  <si>
    <t>Table 1.5</t>
  </si>
  <si>
    <r>
      <t>: Property crime by state and type of crime, Malaysia, 2015</t>
    </r>
    <r>
      <rPr>
        <sz val="10"/>
        <rFont val="Calibri"/>
        <family val="2"/>
      </rPr>
      <t>─</t>
    </r>
    <r>
      <rPr>
        <i/>
        <sz val="10"/>
        <rFont val="Arial"/>
        <family val="2"/>
      </rPr>
      <t xml:space="preserve">2017                  </t>
    </r>
  </si>
  <si>
    <r>
      <rPr>
        <b/>
        <sz val="10"/>
        <rFont val="Arial"/>
        <family val="2"/>
      </rPr>
      <t xml:space="preserve">Negeri
</t>
    </r>
    <r>
      <rPr>
        <i/>
        <sz val="10"/>
        <rFont val="Arial"/>
        <family val="2"/>
      </rPr>
      <t>State</t>
    </r>
  </si>
  <si>
    <r>
      <rPr>
        <b/>
        <sz val="10"/>
        <rFont val="Arial"/>
        <family val="2"/>
      </rPr>
      <t>Tahun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Year</t>
    </r>
  </si>
  <si>
    <r>
      <t xml:space="preserve">Pecah rumah dan curi           </t>
    </r>
    <r>
      <rPr>
        <i/>
        <sz val="10"/>
        <rFont val="Arial"/>
        <family val="2"/>
      </rPr>
      <t>House break-in and theft</t>
    </r>
  </si>
  <si>
    <r>
      <t xml:space="preserve">Kecurian kenderaan
</t>
    </r>
    <r>
      <rPr>
        <i/>
        <sz val="10"/>
        <rFont val="Arial"/>
        <family val="2"/>
      </rPr>
      <t>Vehicles theft</t>
    </r>
  </si>
  <si>
    <r>
      <t xml:space="preserve">Curi/
Ragut
</t>
    </r>
    <r>
      <rPr>
        <i/>
        <sz val="10"/>
        <rFont val="Arial"/>
        <family val="2"/>
      </rPr>
      <t>Theft</t>
    </r>
    <r>
      <rPr>
        <b/>
        <sz val="10"/>
        <rFont val="Arial"/>
        <family val="2"/>
      </rPr>
      <t xml:space="preserve">/
</t>
    </r>
    <r>
      <rPr>
        <i/>
        <sz val="10"/>
        <rFont val="Arial"/>
        <family val="2"/>
      </rPr>
      <t>Snatch</t>
    </r>
  </si>
  <si>
    <r>
      <t xml:space="preserve">Kecurian lain
</t>
    </r>
    <r>
      <rPr>
        <i/>
        <sz val="10"/>
        <rFont val="Arial"/>
        <family val="2"/>
      </rPr>
      <t>Other theft</t>
    </r>
  </si>
  <si>
    <r>
      <t xml:space="preserve">Lori/van
</t>
    </r>
    <r>
      <rPr>
        <i/>
        <sz val="10"/>
        <rFont val="Arial"/>
        <family val="2"/>
      </rPr>
      <t>Lorry/van</t>
    </r>
  </si>
  <si>
    <r>
      <t xml:space="preserve">Kereta
</t>
    </r>
    <r>
      <rPr>
        <i/>
        <sz val="10"/>
        <rFont val="Arial"/>
        <family val="2"/>
      </rPr>
      <t>Motorcar</t>
    </r>
  </si>
  <si>
    <r>
      <rPr>
        <b/>
        <sz val="10"/>
        <rFont val="Arial"/>
        <family val="2"/>
      </rPr>
      <t>Motosikal/
Skuter</t>
    </r>
    <r>
      <rPr>
        <i/>
        <sz val="10"/>
        <rFont val="Arial"/>
        <family val="2"/>
      </rPr>
      <t xml:space="preserve">
Motorcycle/
scooter</t>
    </r>
    <r>
      <rPr>
        <sz val="10"/>
        <rFont val="Arial"/>
        <family val="2"/>
      </rPr>
      <t xml:space="preserve">
</t>
    </r>
  </si>
  <si>
    <t xml:space="preserve"> </t>
  </si>
  <si>
    <t>Jadual 1.4</t>
  </si>
  <si>
    <t>: Jenayah kekerasan mengikut kontinjen, daerah PDRM dan jenis jenayah, Malaysia, 2015─2017</t>
  </si>
  <si>
    <t>Table 1.4</t>
  </si>
  <si>
    <r>
      <t>: Violent crime by contingent, PDRM district and type of crime, Malaysia, 2015</t>
    </r>
    <r>
      <rPr>
        <sz val="10"/>
        <rFont val="Arial"/>
        <family val="2"/>
      </rPr>
      <t>─2017</t>
    </r>
    <r>
      <rPr>
        <i/>
        <sz val="10"/>
        <rFont val="Arial"/>
        <family val="2"/>
      </rPr>
      <t xml:space="preserve">
                  </t>
    </r>
  </si>
  <si>
    <r>
      <t xml:space="preserve">Kontinjen/Daerah 
</t>
    </r>
    <r>
      <rPr>
        <i/>
        <sz val="10"/>
        <rFont val="Arial"/>
        <family val="2"/>
      </rPr>
      <t>Contingent/Territory</t>
    </r>
  </si>
  <si>
    <t>: Jenayah kekerasan mengikut kontinjen, daerah PDRM dan jenis jenayah, Malaysia, 2015─2017 (samb.)</t>
  </si>
  <si>
    <r>
      <t>: Violent crime by contingent, PDRM district and type of crime, Malaysia, 2015</t>
    </r>
    <r>
      <rPr>
        <sz val="10"/>
        <rFont val="Arial"/>
        <family val="2"/>
      </rPr>
      <t>─2017 (cont'd)</t>
    </r>
    <r>
      <rPr>
        <i/>
        <sz val="10"/>
        <rFont val="Arial"/>
        <family val="2"/>
      </rPr>
      <t xml:space="preserve">
                  </t>
    </r>
  </si>
  <si>
    <r>
      <t>Sabah (samb./</t>
    </r>
    <r>
      <rPr>
        <i/>
        <sz val="10"/>
        <rFont val="Arial"/>
        <family val="2"/>
      </rPr>
      <t>cont'd</t>
    </r>
    <r>
      <rPr>
        <b/>
        <sz val="10"/>
        <rFont val="Arial"/>
        <family val="2"/>
      </rPr>
      <t>)</t>
    </r>
  </si>
  <si>
    <r>
      <t>Sarawak (samb./</t>
    </r>
    <r>
      <rPr>
        <i/>
        <sz val="10"/>
        <rFont val="Arial"/>
        <family val="2"/>
      </rPr>
      <t>cont'd</t>
    </r>
    <r>
      <rPr>
        <b/>
        <sz val="10"/>
        <rFont val="Arial"/>
        <family val="2"/>
      </rPr>
      <t>)</t>
    </r>
  </si>
  <si>
    <t>Jadual 1.6</t>
  </si>
  <si>
    <t>: Jenayah harta benda mengikut kontinjen, daerah PDRM dan jenis jenayah, Malaysia, 2015─2017</t>
  </si>
  <si>
    <t>Table 1.6</t>
  </si>
  <si>
    <r>
      <t>: Property crime by contingent, PDRM district and type of crime, Malaysia, 2015</t>
    </r>
    <r>
      <rPr>
        <sz val="10"/>
        <rFont val="Calibri"/>
        <family val="2"/>
      </rPr>
      <t>─</t>
    </r>
    <r>
      <rPr>
        <i/>
        <sz val="10"/>
        <rFont val="Arial"/>
        <family val="2"/>
      </rPr>
      <t>2017</t>
    </r>
  </si>
  <si>
    <r>
      <t xml:space="preserve">Kontinjen/Daerah
</t>
    </r>
    <r>
      <rPr>
        <i/>
        <sz val="10"/>
        <rFont val="Arial"/>
        <family val="2"/>
      </rPr>
      <t>Contingent/District</t>
    </r>
    <r>
      <rPr>
        <b/>
        <sz val="10"/>
        <rFont val="Arial"/>
        <family val="2"/>
      </rPr>
      <t xml:space="preserve">
</t>
    </r>
  </si>
  <si>
    <r>
      <t xml:space="preserve">Pecah rumah dan curi           </t>
    </r>
    <r>
      <rPr>
        <i/>
        <sz val="10"/>
        <rFont val="Arial"/>
        <family val="2"/>
      </rPr>
      <t>House  break-in and theft</t>
    </r>
  </si>
  <si>
    <r>
      <t>Motosikal/
Skuter</t>
    </r>
    <r>
      <rPr>
        <i/>
        <sz val="10"/>
        <rFont val="Arial"/>
        <family val="2"/>
      </rPr>
      <t xml:space="preserve">
Motorcycle/
scooter</t>
    </r>
    <r>
      <rPr>
        <sz val="10"/>
        <rFont val="Arial"/>
        <family val="2"/>
      </rPr>
      <t xml:space="preserve">
</t>
    </r>
  </si>
  <si>
    <t>: Jenayah harta benda mengikut kontinjen, daerah PDRM dan jenis jenayah, Malaysia, 2015─2017 (samb.)</t>
  </si>
  <si>
    <r>
      <t>: Property crime by contingent, PDRM district and type of crime, Malaysia, 2015</t>
    </r>
    <r>
      <rPr>
        <sz val="10"/>
        <rFont val="Calibri"/>
        <family val="2"/>
      </rPr>
      <t>─</t>
    </r>
    <r>
      <rPr>
        <i/>
        <sz val="10"/>
        <rFont val="Arial"/>
        <family val="2"/>
      </rPr>
      <t>2017 (cont'd)</t>
    </r>
  </si>
  <si>
    <t>Sabah (samb.)</t>
  </si>
  <si>
    <t xml:space="preserve"> Sarawak</t>
  </si>
  <si>
    <t>`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</si>
</sst>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2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i/>
      <sz val="9"/>
      <name val="Arial"/>
      <family val="2"/>
    </font>
    <font>
      <b/>
      <sz val="10"/>
      <name val="Calibri"/>
      <family val="2"/>
    </font>
    <font>
      <b/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43" fontId="3" fillId="0" borderId="0" applyFont="0" applyFill="0" applyBorder="0" applyAlignment="0" applyProtection="0"/>
  </cellStyleXfs>
  <cellXfs count="397">
    <xf numFmtId="0" fontId="0" fillId="0" borderId="0" xfId="0"/>
    <xf numFmtId="3" fontId="4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Fill="1"/>
    <xf numFmtId="0" fontId="2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right" indent="1"/>
    </xf>
    <xf numFmtId="0" fontId="2" fillId="0" borderId="0" xfId="0" applyFont="1" applyFill="1" applyAlignment="1">
      <alignment horizontal="right" indent="1"/>
    </xf>
    <xf numFmtId="0" fontId="4" fillId="0" borderId="0" xfId="0" applyFont="1" applyFill="1"/>
    <xf numFmtId="0" fontId="2" fillId="0" borderId="0" xfId="0" applyFont="1" applyFill="1" applyBorder="1"/>
    <xf numFmtId="0" fontId="6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quotePrefix="1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3" fontId="2" fillId="0" borderId="0" xfId="0" applyNumberFormat="1" applyFont="1" applyFill="1"/>
    <xf numFmtId="0" fontId="2" fillId="0" borderId="1" xfId="0" applyFont="1" applyFill="1" applyBorder="1" applyAlignment="1">
      <alignment horizontal="left" vertical="center" indent="1"/>
    </xf>
    <xf numFmtId="3" fontId="2" fillId="0" borderId="2" xfId="0" applyNumberFormat="1" applyFont="1" applyFill="1" applyBorder="1" applyAlignment="1">
      <alignment horizontal="right" vertical="center"/>
    </xf>
    <xf numFmtId="0" fontId="8" fillId="0" borderId="0" xfId="0" applyFont="1" applyFill="1" applyBorder="1"/>
    <xf numFmtId="0" fontId="8" fillId="0" borderId="0" xfId="0" applyFont="1" applyFill="1"/>
    <xf numFmtId="0" fontId="2" fillId="0" borderId="2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2" fillId="0" borderId="2" xfId="0" quotePrefix="1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0" fontId="7" fillId="0" borderId="0" xfId="0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 wrapText="1" indent="1"/>
    </xf>
    <xf numFmtId="3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Font="1" applyFill="1" applyBorder="1"/>
    <xf numFmtId="0" fontId="2" fillId="0" borderId="2" xfId="0" applyFont="1" applyFill="1" applyBorder="1"/>
    <xf numFmtId="0" fontId="4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top"/>
    </xf>
    <xf numFmtId="3" fontId="4" fillId="0" borderId="0" xfId="0" applyNumberFormat="1" applyFont="1" applyFill="1"/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2" fillId="0" borderId="5" xfId="0" applyFont="1" applyFill="1" applyBorder="1"/>
    <xf numFmtId="0" fontId="4" fillId="0" borderId="5" xfId="0" applyFont="1" applyFill="1" applyBorder="1" applyAlignment="1">
      <alignment horizontal="left" vertical="center" wrapText="1" indent="1"/>
    </xf>
    <xf numFmtId="0" fontId="4" fillId="0" borderId="5" xfId="0" applyFont="1" applyFill="1" applyBorder="1" applyAlignment="1">
      <alignment horizontal="left" vertical="center" indent="1"/>
    </xf>
    <xf numFmtId="0" fontId="4" fillId="0" borderId="5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center"/>
    </xf>
    <xf numFmtId="0" fontId="9" fillId="2" borderId="4" xfId="0" applyFont="1" applyFill="1" applyBorder="1" applyAlignment="1"/>
    <xf numFmtId="0" fontId="9" fillId="2" borderId="4" xfId="0" applyFont="1" applyFill="1" applyBorder="1" applyAlignment="1">
      <alignment horizontal="center" vertical="center"/>
    </xf>
    <xf numFmtId="0" fontId="11" fillId="0" borderId="0" xfId="0" applyFont="1" applyFill="1"/>
    <xf numFmtId="0" fontId="10" fillId="2" borderId="2" xfId="0" applyFont="1" applyFill="1" applyBorder="1" applyAlignment="1">
      <alignment vertical="top"/>
    </xf>
    <xf numFmtId="0" fontId="9" fillId="2" borderId="2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 indent="1"/>
    </xf>
    <xf numFmtId="0" fontId="11" fillId="0" borderId="0" xfId="0" applyFont="1" applyFill="1" applyBorder="1" applyAlignment="1">
      <alignment horizontal="left" vertical="center" indent="1"/>
    </xf>
    <xf numFmtId="3" fontId="11" fillId="0" borderId="0" xfId="0" quotePrefix="1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 indent="1"/>
    </xf>
    <xf numFmtId="3" fontId="11" fillId="0" borderId="1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 indent="1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vertical="top"/>
    </xf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indent="1"/>
    </xf>
    <xf numFmtId="0" fontId="4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11" fillId="0" borderId="2" xfId="0" applyFont="1" applyFill="1" applyBorder="1" applyAlignment="1">
      <alignment horizontal="left" vertical="center" indent="1"/>
    </xf>
    <xf numFmtId="3" fontId="11" fillId="0" borderId="2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left" vertical="center" indent="1"/>
    </xf>
    <xf numFmtId="3" fontId="11" fillId="0" borderId="3" xfId="0" applyNumberFormat="1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right" vertical="center"/>
    </xf>
    <xf numFmtId="0" fontId="2" fillId="0" borderId="3" xfId="0" applyFont="1" applyFill="1" applyBorder="1"/>
    <xf numFmtId="0" fontId="9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right" vertical="top"/>
    </xf>
    <xf numFmtId="0" fontId="9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/>
    <xf numFmtId="0" fontId="2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top"/>
    </xf>
    <xf numFmtId="0" fontId="8" fillId="0" borderId="0" xfId="0" applyFont="1" applyFill="1" applyAlignment="1">
      <alignment horizontal="left" indent="1"/>
    </xf>
    <xf numFmtId="0" fontId="6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4" fillId="0" borderId="5" xfId="0" applyFont="1" applyFill="1" applyBorder="1" applyAlignment="1">
      <alignment vertical="center" wrapText="1"/>
    </xf>
    <xf numFmtId="0" fontId="4" fillId="0" borderId="1" xfId="0" applyFont="1" applyFill="1" applyBorder="1"/>
    <xf numFmtId="0" fontId="6" fillId="0" borderId="0" xfId="0" applyFont="1" applyFill="1" applyBorder="1" applyAlignment="1"/>
    <xf numFmtId="0" fontId="9" fillId="0" borderId="0" xfId="0" applyFont="1" applyFill="1"/>
    <xf numFmtId="0" fontId="11" fillId="0" borderId="0" xfId="0" applyFont="1" applyFill="1" applyAlignment="1">
      <alignment horizontal="left" vertical="center"/>
    </xf>
    <xf numFmtId="0" fontId="11" fillId="0" borderId="0" xfId="0" quotePrefix="1" applyFont="1" applyFill="1" applyBorder="1" applyAlignment="1">
      <alignment horizontal="left" vertical="center" indent="1"/>
    </xf>
    <xf numFmtId="0" fontId="9" fillId="0" borderId="1" xfId="0" applyFont="1" applyFill="1" applyBorder="1"/>
    <xf numFmtId="0" fontId="9" fillId="0" borderId="0" xfId="0" applyFont="1" applyFill="1" applyBorder="1"/>
    <xf numFmtId="0" fontId="4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/>
    <xf numFmtId="0" fontId="9" fillId="0" borderId="0" xfId="0" applyFont="1" applyFill="1" applyBorder="1" applyAlignment="1"/>
    <xf numFmtId="0" fontId="6" fillId="0" borderId="0" xfId="0" applyFont="1" applyFill="1" applyBorder="1" applyAlignment="1">
      <alignment horizontal="right" vertical="top"/>
    </xf>
    <xf numFmtId="0" fontId="11" fillId="0" borderId="0" xfId="0" applyFont="1" applyFill="1" applyAlignment="1"/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left" indent="1"/>
    </xf>
    <xf numFmtId="0" fontId="11" fillId="0" borderId="0" xfId="0" applyFont="1" applyFill="1" applyBorder="1"/>
    <xf numFmtId="0" fontId="11" fillId="0" borderId="0" xfId="0" applyFont="1" applyFill="1" applyAlignment="1">
      <alignment horizontal="left"/>
    </xf>
    <xf numFmtId="3" fontId="9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/>
    <xf numFmtId="0" fontId="9" fillId="0" borderId="0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 horizontal="left" indent="1"/>
    </xf>
    <xf numFmtId="0" fontId="4" fillId="0" borderId="1" xfId="0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vertical="top"/>
    </xf>
    <xf numFmtId="0" fontId="9" fillId="0" borderId="1" xfId="0" applyFont="1" applyFill="1" applyBorder="1" applyAlignment="1">
      <alignment horizontal="right" vertical="center" indent="1"/>
    </xf>
    <xf numFmtId="0" fontId="4" fillId="0" borderId="2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right" vertical="center" indent="1"/>
    </xf>
    <xf numFmtId="0" fontId="4" fillId="0" borderId="0" xfId="0" applyFont="1" applyFill="1" applyAlignment="1">
      <alignment horizontal="left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indent="1"/>
    </xf>
    <xf numFmtId="0" fontId="9" fillId="0" borderId="1" xfId="0" applyFont="1" applyFill="1" applyBorder="1" applyAlignment="1">
      <alignment horizontal="right" vertical="center"/>
    </xf>
    <xf numFmtId="3" fontId="11" fillId="0" borderId="0" xfId="1" applyNumberFormat="1" applyFont="1" applyFill="1" applyBorder="1" applyAlignment="1" applyProtection="1">
      <alignment horizontal="right" vertical="center"/>
    </xf>
    <xf numFmtId="3" fontId="9" fillId="0" borderId="0" xfId="0" quotePrefix="1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3" fontId="11" fillId="0" borderId="0" xfId="0" quotePrefix="1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3" fontId="11" fillId="0" borderId="0" xfId="0" quotePrefix="1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3" fontId="11" fillId="0" borderId="0" xfId="0" quotePrefix="1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3" fontId="11" fillId="0" borderId="0" xfId="0" quotePrefix="1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quotePrefix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11" fillId="0" borderId="0" xfId="0" quotePrefix="1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right" vertical="center" indent="1"/>
    </xf>
    <xf numFmtId="0" fontId="11" fillId="0" borderId="0" xfId="0" applyFont="1" applyFill="1" applyBorder="1" applyAlignment="1">
      <alignment horizontal="right" vertical="center" wrapText="1" indent="1"/>
    </xf>
    <xf numFmtId="3" fontId="6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Alignment="1">
      <alignment vertical="top"/>
    </xf>
    <xf numFmtId="3" fontId="2" fillId="0" borderId="0" xfId="0" applyNumberFormat="1" applyFont="1" applyFill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 vertical="top"/>
    </xf>
    <xf numFmtId="3" fontId="4" fillId="0" borderId="5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top" wrapText="1"/>
    </xf>
    <xf numFmtId="0" fontId="9" fillId="2" borderId="4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right" vertical="center" wrapText="1"/>
    </xf>
    <xf numFmtId="0" fontId="11" fillId="2" borderId="4" xfId="0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 horizontal="right" vertical="center" wrapText="1"/>
    </xf>
    <xf numFmtId="3" fontId="11" fillId="2" borderId="4" xfId="0" applyNumberFormat="1" applyFont="1" applyFill="1" applyBorder="1" applyAlignment="1">
      <alignment horizontal="right" vertical="center" wrapText="1"/>
    </xf>
    <xf numFmtId="3" fontId="11" fillId="2" borderId="2" xfId="0" applyNumberFormat="1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top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left" vertical="center" wrapText="1" indent="1"/>
    </xf>
    <xf numFmtId="0" fontId="11" fillId="2" borderId="2" xfId="0" applyFont="1" applyFill="1" applyBorder="1" applyAlignment="1">
      <alignment vertical="top" wrapText="1"/>
    </xf>
    <xf numFmtId="0" fontId="11" fillId="2" borderId="2" xfId="0" applyFont="1" applyFill="1" applyBorder="1" applyAlignment="1">
      <alignment horizontal="right" vertical="top" wrapText="1"/>
    </xf>
    <xf numFmtId="0" fontId="11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3" fontId="11" fillId="0" borderId="0" xfId="0" applyNumberFormat="1" applyFont="1" applyFill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 vertical="top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right" vertical="center" indent="1"/>
    </xf>
    <xf numFmtId="0" fontId="4" fillId="2" borderId="4" xfId="0" applyFont="1" applyFill="1" applyBorder="1" applyAlignment="1">
      <alignment horizontal="left" wrapText="1" indent="1"/>
    </xf>
    <xf numFmtId="0" fontId="2" fillId="2" borderId="4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right" vertical="top" wrapText="1" indent="1"/>
    </xf>
    <xf numFmtId="0" fontId="4" fillId="0" borderId="0" xfId="0" applyFont="1" applyFill="1" applyBorder="1" applyAlignment="1">
      <alignment horizontal="right" vertical="center" wrapText="1"/>
    </xf>
    <xf numFmtId="0" fontId="9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left" vertical="center" indent="1"/>
    </xf>
    <xf numFmtId="3" fontId="9" fillId="0" borderId="0" xfId="0" applyNumberFormat="1" applyFont="1" applyFill="1" applyBorder="1" applyAlignment="1">
      <alignment horizontal="right" vertical="center" indent="1"/>
    </xf>
    <xf numFmtId="0" fontId="8" fillId="0" borderId="0" xfId="0" applyFont="1" applyFill="1" applyBorder="1" applyAlignment="1">
      <alignment vertical="center"/>
    </xf>
    <xf numFmtId="0" fontId="11" fillId="0" borderId="0" xfId="2" applyFont="1" applyFill="1" applyBorder="1" applyAlignment="1">
      <alignment horizontal="left" vertical="center"/>
    </xf>
    <xf numFmtId="0" fontId="11" fillId="0" borderId="0" xfId="2" applyFont="1" applyFill="1" applyBorder="1" applyAlignment="1">
      <alignment horizontal="left" vertical="center" indent="1"/>
    </xf>
    <xf numFmtId="3" fontId="11" fillId="0" borderId="0" xfId="0" applyNumberFormat="1" applyFont="1" applyFill="1" applyBorder="1" applyAlignment="1">
      <alignment horizontal="right" vertical="center" indent="1"/>
    </xf>
    <xf numFmtId="0" fontId="2" fillId="0" borderId="1" xfId="2" applyFont="1" applyFill="1" applyBorder="1" applyAlignment="1">
      <alignment horizontal="left" vertical="center" indent="1"/>
    </xf>
    <xf numFmtId="3" fontId="2" fillId="0" borderId="1" xfId="0" applyNumberFormat="1" applyFont="1" applyFill="1" applyBorder="1" applyAlignment="1">
      <alignment horizontal="right" vertical="center" indent="1"/>
    </xf>
    <xf numFmtId="0" fontId="9" fillId="0" borderId="0" xfId="0" applyFont="1" applyFill="1" applyAlignment="1">
      <alignment horizontal="right" vertical="top" indent="1"/>
    </xf>
    <xf numFmtId="0" fontId="9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right" vertical="top" indent="1"/>
    </xf>
    <xf numFmtId="0" fontId="9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right" indent="2"/>
    </xf>
    <xf numFmtId="0" fontId="2" fillId="2" borderId="4" xfId="0" applyFont="1" applyFill="1" applyBorder="1"/>
    <xf numFmtId="0" fontId="11" fillId="2" borderId="0" xfId="0" applyFont="1" applyFill="1" applyBorder="1"/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left" vertical="center" wrapText="1" indent="1"/>
    </xf>
    <xf numFmtId="0" fontId="11" fillId="2" borderId="0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right" vertical="top" wrapText="1"/>
    </xf>
    <xf numFmtId="0" fontId="9" fillId="2" borderId="0" xfId="0" applyFont="1" applyFill="1" applyBorder="1" applyAlignment="1">
      <alignment horizontal="right" vertical="top" wrapText="1" inden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right" vertical="top" wrapText="1" indent="1"/>
    </xf>
    <xf numFmtId="0" fontId="9" fillId="2" borderId="2" xfId="0" applyFont="1" applyFill="1" applyBorder="1"/>
    <xf numFmtId="0" fontId="11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right" vertical="top" wrapText="1"/>
    </xf>
    <xf numFmtId="0" fontId="9" fillId="2" borderId="6" xfId="0" applyFont="1" applyFill="1" applyBorder="1" applyAlignment="1">
      <alignment horizontal="right" vertical="top" wrapText="1" indent="1"/>
    </xf>
    <xf numFmtId="0" fontId="2" fillId="0" borderId="0" xfId="0" applyFont="1" applyFill="1" applyAlignment="1">
      <alignment horizontal="right" indent="2"/>
    </xf>
    <xf numFmtId="0" fontId="11" fillId="0" borderId="1" xfId="2" applyFont="1" applyFill="1" applyBorder="1" applyAlignment="1">
      <alignment horizontal="left" vertical="center"/>
    </xf>
    <xf numFmtId="0" fontId="11" fillId="0" borderId="1" xfId="2" applyFont="1" applyFill="1" applyBorder="1" applyAlignment="1">
      <alignment horizontal="left" vertical="center" indent="1"/>
    </xf>
    <xf numFmtId="3" fontId="11" fillId="0" borderId="1" xfId="0" applyNumberFormat="1" applyFont="1" applyFill="1" applyBorder="1" applyAlignment="1">
      <alignment horizontal="right" vertical="center" indent="1"/>
    </xf>
    <xf numFmtId="0" fontId="11" fillId="0" borderId="0" xfId="0" applyFont="1" applyFill="1" applyAlignment="1">
      <alignment horizontal="right" indent="1"/>
    </xf>
    <xf numFmtId="0" fontId="9" fillId="0" borderId="0" xfId="0" applyFont="1" applyFill="1" applyAlignment="1">
      <alignment horizontal="right" indent="1"/>
    </xf>
    <xf numFmtId="0" fontId="11" fillId="0" borderId="0" xfId="0" applyFont="1" applyFill="1" applyAlignment="1">
      <alignment horizontal="right" indent="2"/>
    </xf>
    <xf numFmtId="0" fontId="11" fillId="2" borderId="4" xfId="0" applyFont="1" applyFill="1" applyBorder="1"/>
    <xf numFmtId="0" fontId="11" fillId="2" borderId="4" xfId="0" applyFont="1" applyFill="1" applyBorder="1" applyAlignment="1">
      <alignment vertical="top"/>
    </xf>
    <xf numFmtId="0" fontId="11" fillId="2" borderId="4" xfId="0" applyFont="1" applyFill="1" applyBorder="1" applyAlignment="1">
      <alignment horizontal="left" indent="1"/>
    </xf>
    <xf numFmtId="0" fontId="9" fillId="2" borderId="4" xfId="0" applyFont="1" applyFill="1" applyBorder="1" applyAlignment="1">
      <alignment horizontal="right"/>
    </xf>
    <xf numFmtId="0" fontId="11" fillId="2" borderId="4" xfId="0" applyFont="1" applyFill="1" applyBorder="1" applyAlignment="1">
      <alignment horizontal="right"/>
    </xf>
    <xf numFmtId="0" fontId="11" fillId="2" borderId="4" xfId="0" applyFont="1" applyFill="1" applyBorder="1" applyAlignment="1">
      <alignment horizontal="right" indent="1"/>
    </xf>
    <xf numFmtId="0" fontId="9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horizontal="right" vertical="top" wrapText="1"/>
    </xf>
    <xf numFmtId="0" fontId="9" fillId="2" borderId="0" xfId="0" applyFont="1" applyFill="1" applyBorder="1" applyAlignment="1"/>
    <xf numFmtId="0" fontId="11" fillId="2" borderId="2" xfId="0" applyFont="1" applyFill="1" applyBorder="1"/>
    <xf numFmtId="0" fontId="9" fillId="2" borderId="2" xfId="0" applyFont="1" applyFill="1" applyBorder="1" applyAlignment="1">
      <alignment vertical="top" wrapText="1"/>
    </xf>
    <xf numFmtId="0" fontId="11" fillId="2" borderId="2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19" fillId="0" borderId="0" xfId="0" applyNumberFormat="1" applyFont="1" applyFill="1" applyBorder="1"/>
    <xf numFmtId="0" fontId="11" fillId="0" borderId="0" xfId="0" applyFont="1" applyFill="1" applyBorder="1" applyAlignment="1">
      <alignment horizontal="left" indent="1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left" indent="1"/>
    </xf>
    <xf numFmtId="0" fontId="9" fillId="0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right" indent="1"/>
    </xf>
    <xf numFmtId="3" fontId="11" fillId="0" borderId="0" xfId="0" applyNumberFormat="1" applyFont="1" applyFill="1" applyBorder="1"/>
    <xf numFmtId="3" fontId="11" fillId="0" borderId="0" xfId="0" applyNumberFormat="1" applyFont="1" applyFill="1"/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right" vertical="center"/>
    </xf>
    <xf numFmtId="3" fontId="9" fillId="3" borderId="0" xfId="0" applyNumberFormat="1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right" vertical="center"/>
    </xf>
    <xf numFmtId="3" fontId="11" fillId="3" borderId="0" xfId="0" applyNumberFormat="1" applyFont="1" applyFill="1" applyBorder="1" applyAlignment="1">
      <alignment horizontal="right" vertical="center"/>
    </xf>
    <xf numFmtId="3" fontId="11" fillId="3" borderId="0" xfId="0" quotePrefix="1" applyNumberFormat="1" applyFont="1" applyFill="1" applyBorder="1" applyAlignment="1">
      <alignment horizontal="right" vertical="center"/>
    </xf>
    <xf numFmtId="0" fontId="19" fillId="0" borderId="0" xfId="0" applyNumberFormat="1" applyFont="1" applyFill="1"/>
    <xf numFmtId="0" fontId="11" fillId="0" borderId="0" xfId="0" applyFont="1" applyFill="1" applyBorder="1" applyAlignment="1">
      <alignment horizontal="left"/>
    </xf>
    <xf numFmtId="0" fontId="2" fillId="0" borderId="0" xfId="0" applyFont="1" applyFill="1" applyAlignment="1"/>
    <xf numFmtId="3" fontId="9" fillId="3" borderId="0" xfId="0" applyNumberFormat="1" applyFont="1" applyFill="1" applyBorder="1" applyAlignment="1">
      <alignment horizontal="right" vertical="center" indent="1"/>
    </xf>
    <xf numFmtId="0" fontId="11" fillId="3" borderId="0" xfId="0" applyFont="1" applyFill="1" applyBorder="1" applyAlignment="1">
      <alignment horizontal="left"/>
    </xf>
    <xf numFmtId="3" fontId="11" fillId="3" borderId="0" xfId="0" applyNumberFormat="1" applyFont="1" applyFill="1" applyBorder="1" applyAlignment="1">
      <alignment horizontal="right" vertical="center" indent="1"/>
    </xf>
    <xf numFmtId="3" fontId="11" fillId="3" borderId="0" xfId="0" applyNumberFormat="1" applyFont="1" applyFill="1" applyBorder="1" applyAlignment="1">
      <alignment horizontal="right" vertical="top"/>
    </xf>
    <xf numFmtId="3" fontId="11" fillId="3" borderId="0" xfId="0" applyNumberFormat="1" applyFont="1" applyFill="1" applyBorder="1" applyAlignment="1">
      <alignment horizontal="right" vertical="top" indent="1"/>
    </xf>
    <xf numFmtId="3" fontId="11" fillId="0" borderId="0" xfId="0" quotePrefix="1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11" fillId="0" borderId="0" xfId="0" quotePrefix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right" indent="1"/>
    </xf>
    <xf numFmtId="0" fontId="9" fillId="0" borderId="0" xfId="0" applyFont="1" applyFill="1" applyBorder="1" applyAlignment="1">
      <alignment horizontal="right" indent="1"/>
    </xf>
    <xf numFmtId="0" fontId="11" fillId="0" borderId="0" xfId="0" applyFont="1" applyFill="1" applyBorder="1" applyAlignment="1">
      <alignment horizontal="right" indent="1"/>
    </xf>
    <xf numFmtId="0" fontId="11" fillId="0" borderId="0" xfId="0" applyFont="1" applyFill="1" applyBorder="1" applyAlignment="1">
      <alignment horizontal="right" indent="2"/>
    </xf>
    <xf numFmtId="0" fontId="9" fillId="2" borderId="4" xfId="0" applyFont="1" applyFill="1" applyBorder="1" applyAlignment="1">
      <alignment horizontal="right" indent="1"/>
    </xf>
    <xf numFmtId="0" fontId="11" fillId="2" borderId="4" xfId="0" applyFont="1" applyFill="1" applyBorder="1" applyAlignment="1">
      <alignment horizontal="right" indent="2"/>
    </xf>
    <xf numFmtId="0" fontId="9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right" vertical="top" wrapText="1" indent="1"/>
    </xf>
    <xf numFmtId="0" fontId="9" fillId="2" borderId="2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right" vertical="top" wrapText="1"/>
    </xf>
    <xf numFmtId="0" fontId="9" fillId="2" borderId="6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right" vertical="top" wrapText="1" indent="1"/>
    </xf>
    <xf numFmtId="0" fontId="9" fillId="0" borderId="0" xfId="0" applyFont="1" applyFill="1" applyBorder="1" applyAlignment="1">
      <alignment horizontal="left" vertical="top"/>
    </xf>
    <xf numFmtId="0" fontId="9" fillId="0" borderId="0" xfId="2" applyFont="1" applyFill="1" applyBorder="1" applyAlignment="1">
      <alignment horizontal="right" vertical="top"/>
    </xf>
    <xf numFmtId="3" fontId="9" fillId="0" borderId="0" xfId="3" applyNumberFormat="1" applyFont="1" applyFill="1" applyBorder="1" applyAlignment="1">
      <alignment horizontal="right" vertical="top"/>
    </xf>
    <xf numFmtId="3" fontId="9" fillId="0" borderId="0" xfId="3" applyNumberFormat="1" applyFont="1" applyFill="1" applyBorder="1" applyAlignment="1">
      <alignment vertical="top"/>
    </xf>
    <xf numFmtId="0" fontId="11" fillId="0" borderId="0" xfId="0" applyFont="1" applyFill="1" applyBorder="1" applyAlignment="1">
      <alignment horizontal="right" vertical="top"/>
    </xf>
    <xf numFmtId="3" fontId="11" fillId="0" borderId="0" xfId="3" applyNumberFormat="1" applyFont="1" applyFill="1" applyBorder="1" applyAlignment="1">
      <alignment vertical="top"/>
    </xf>
    <xf numFmtId="0" fontId="11" fillId="0" borderId="0" xfId="0" applyFont="1" applyFill="1" applyBorder="1" applyAlignment="1">
      <alignment horizontal="left" vertical="top"/>
    </xf>
    <xf numFmtId="0" fontId="11" fillId="0" borderId="0" xfId="2" applyFont="1" applyFill="1" applyBorder="1" applyAlignment="1">
      <alignment horizontal="right" vertical="top"/>
    </xf>
    <xf numFmtId="3" fontId="11" fillId="0" borderId="0" xfId="3" applyNumberFormat="1" applyFont="1" applyFill="1" applyBorder="1" applyAlignment="1">
      <alignment horizontal="right" vertical="top"/>
    </xf>
    <xf numFmtId="3" fontId="11" fillId="0" borderId="0" xfId="3" quotePrefix="1" applyNumberFormat="1" applyFont="1" applyFill="1" applyBorder="1" applyAlignment="1">
      <alignment horizontal="right" vertical="top"/>
    </xf>
    <xf numFmtId="3" fontId="11" fillId="0" borderId="0" xfId="3" applyNumberFormat="1" applyFont="1" applyBorder="1" applyAlignment="1">
      <alignment horizontal="right" vertical="top"/>
    </xf>
    <xf numFmtId="0" fontId="11" fillId="0" borderId="1" xfId="0" applyFont="1" applyFill="1" applyBorder="1" applyAlignment="1">
      <alignment horizontal="left" vertical="top"/>
    </xf>
    <xf numFmtId="0" fontId="9" fillId="0" borderId="1" xfId="2" applyFont="1" applyFill="1" applyBorder="1" applyAlignment="1">
      <alignment horizontal="right" vertical="top"/>
    </xf>
    <xf numFmtId="164" fontId="11" fillId="0" borderId="1" xfId="3" applyNumberFormat="1" applyFont="1" applyFill="1" applyBorder="1" applyAlignment="1">
      <alignment horizontal="right" vertical="top"/>
    </xf>
    <xf numFmtId="164" fontId="11" fillId="0" borderId="1" xfId="3" applyNumberFormat="1" applyFont="1" applyBorder="1" applyAlignment="1">
      <alignment horizontal="right" vertical="top"/>
    </xf>
    <xf numFmtId="164" fontId="11" fillId="0" borderId="1" xfId="3" quotePrefix="1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wrapText="1" indent="1"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vertical="top"/>
    </xf>
    <xf numFmtId="0" fontId="11" fillId="2" borderId="2" xfId="0" applyFont="1" applyFill="1" applyBorder="1" applyAlignment="1">
      <alignment horizontal="right" vertical="center" wrapText="1" indent="1"/>
    </xf>
    <xf numFmtId="0" fontId="9" fillId="0" borderId="0" xfId="0" applyFont="1" applyFill="1" applyBorder="1" applyAlignment="1">
      <alignment horizontal="left" vertical="top" wrapText="1"/>
    </xf>
    <xf numFmtId="3" fontId="9" fillId="0" borderId="0" xfId="0" applyNumberFormat="1" applyFont="1" applyFill="1" applyBorder="1" applyAlignment="1">
      <alignment horizontal="right" indent="1"/>
    </xf>
    <xf numFmtId="3" fontId="11" fillId="0" borderId="0" xfId="0" applyNumberFormat="1" applyFont="1" applyFill="1" applyBorder="1" applyAlignment="1">
      <alignment horizontal="right" indent="1"/>
    </xf>
    <xf numFmtId="3" fontId="11" fillId="0" borderId="0" xfId="0" quotePrefix="1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 vertical="center" inden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wrapText="1" indent="1"/>
    </xf>
    <xf numFmtId="0" fontId="4" fillId="0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right" vertical="top"/>
    </xf>
    <xf numFmtId="3" fontId="9" fillId="0" borderId="0" xfId="0" applyNumberFormat="1" applyFont="1" applyFill="1" applyBorder="1" applyAlignment="1">
      <alignment horizontal="right" vertical="top"/>
    </xf>
    <xf numFmtId="3" fontId="9" fillId="0" borderId="0" xfId="0" applyNumberFormat="1" applyFont="1" applyFill="1" applyBorder="1" applyAlignment="1">
      <alignment horizontal="right" vertical="top" indent="1"/>
    </xf>
    <xf numFmtId="3" fontId="9" fillId="0" borderId="0" xfId="0" applyNumberFormat="1" applyFont="1" applyFill="1" applyBorder="1" applyAlignment="1">
      <alignment vertical="top"/>
    </xf>
    <xf numFmtId="3" fontId="9" fillId="0" borderId="0" xfId="0" quotePrefix="1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right" vertical="top" indent="1"/>
    </xf>
    <xf numFmtId="3" fontId="11" fillId="0" borderId="0" xfId="0" applyNumberFormat="1" applyFont="1" applyFill="1" applyBorder="1" applyAlignment="1">
      <alignment horizontal="right" vertical="top"/>
    </xf>
    <xf numFmtId="3" fontId="11" fillId="0" borderId="0" xfId="0" applyNumberFormat="1" applyFont="1" applyFill="1" applyBorder="1" applyAlignment="1">
      <alignment horizontal="right" vertical="top" indent="1"/>
    </xf>
    <xf numFmtId="3" fontId="11" fillId="0" borderId="0" xfId="0" quotePrefix="1" applyNumberFormat="1" applyFont="1" applyFill="1" applyBorder="1" applyAlignment="1">
      <alignment horizontal="right" vertical="top"/>
    </xf>
    <xf numFmtId="3" fontId="11" fillId="0" borderId="0" xfId="0" applyNumberFormat="1" applyFont="1" applyBorder="1" applyAlignment="1">
      <alignment horizontal="right" vertical="top"/>
    </xf>
    <xf numFmtId="3" fontId="11" fillId="0" borderId="0" xfId="0" quotePrefix="1" applyNumberFormat="1" applyFont="1" applyFill="1" applyBorder="1" applyAlignment="1">
      <alignment horizontal="right" vertical="top" indent="1"/>
    </xf>
    <xf numFmtId="3" fontId="11" fillId="0" borderId="0" xfId="0" quotePrefix="1" applyNumberFormat="1" applyFont="1" applyBorder="1" applyAlignment="1">
      <alignment horizontal="right" vertical="top"/>
    </xf>
    <xf numFmtId="0" fontId="11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right" vertical="top"/>
    </xf>
    <xf numFmtId="3" fontId="11" fillId="0" borderId="1" xfId="0" applyNumberFormat="1" applyFont="1" applyFill="1" applyBorder="1" applyAlignment="1">
      <alignment horizontal="right" vertical="top"/>
    </xf>
    <xf numFmtId="3" fontId="11" fillId="0" borderId="1" xfId="0" applyNumberFormat="1" applyFont="1" applyFill="1" applyBorder="1" applyAlignment="1">
      <alignment horizontal="right" vertical="top" indent="1"/>
    </xf>
    <xf numFmtId="3" fontId="11" fillId="0" borderId="1" xfId="0" applyNumberFormat="1" applyFont="1" applyBorder="1" applyAlignment="1">
      <alignment horizontal="right" vertical="top"/>
    </xf>
    <xf numFmtId="3" fontId="11" fillId="0" borderId="1" xfId="0" quotePrefix="1" applyNumberFormat="1" applyFont="1" applyBorder="1" applyAlignment="1">
      <alignment horizontal="right" vertical="top"/>
    </xf>
    <xf numFmtId="0" fontId="9" fillId="0" borderId="3" xfId="0" applyFont="1" applyFill="1" applyBorder="1"/>
    <xf numFmtId="0" fontId="11" fillId="0" borderId="0" xfId="0" applyFont="1" applyFill="1" applyBorder="1" applyAlignment="1">
      <alignment horizontal="left" vertical="center" indent="2"/>
    </xf>
    <xf numFmtId="3" fontId="11" fillId="0" borderId="0" xfId="0" quotePrefix="1" applyNumberFormat="1" applyFont="1" applyFill="1" applyBorder="1" applyAlignment="1">
      <alignment horizontal="right" vertical="center" indent="1"/>
    </xf>
    <xf numFmtId="0" fontId="11" fillId="0" borderId="1" xfId="0" applyFont="1" applyFill="1" applyBorder="1" applyAlignment="1">
      <alignment horizontal="left" vertical="center" indent="2"/>
    </xf>
    <xf numFmtId="3" fontId="9" fillId="0" borderId="0" xfId="0" quotePrefix="1" applyNumberFormat="1" applyFont="1" applyFill="1" applyBorder="1" applyAlignment="1">
      <alignment horizontal="right" vertical="center" indent="1"/>
    </xf>
    <xf numFmtId="3" fontId="11" fillId="0" borderId="0" xfId="0" applyNumberFormat="1" applyFont="1" applyBorder="1" applyAlignment="1">
      <alignment horizontal="right" vertical="center" indent="1"/>
    </xf>
    <xf numFmtId="3" fontId="11" fillId="0" borderId="0" xfId="0" quotePrefix="1" applyNumberFormat="1" applyFont="1" applyBorder="1" applyAlignment="1">
      <alignment horizontal="right" vertical="center" indent="1"/>
    </xf>
    <xf numFmtId="3" fontId="2" fillId="0" borderId="1" xfId="0" applyNumberFormat="1" applyFont="1" applyBorder="1" applyAlignment="1">
      <alignment horizontal="right" vertical="center" indent="1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 indent="1"/>
    </xf>
    <xf numFmtId="0" fontId="6" fillId="0" borderId="0" xfId="0" applyFont="1" applyFill="1" applyBorder="1"/>
    <xf numFmtId="0" fontId="9" fillId="0" borderId="1" xfId="0" applyFont="1" applyFill="1" applyBorder="1" applyAlignment="1">
      <alignment horizontal="left" vertical="center" indent="1"/>
    </xf>
    <xf numFmtId="3" fontId="11" fillId="0" borderId="1" xfId="0" quotePrefix="1" applyNumberFormat="1" applyFont="1" applyFill="1" applyBorder="1" applyAlignment="1">
      <alignment horizontal="right" vertical="center" indent="1"/>
    </xf>
    <xf numFmtId="0" fontId="11" fillId="0" borderId="5" xfId="0" applyFont="1" applyFill="1" applyBorder="1"/>
    <xf numFmtId="0" fontId="9" fillId="0" borderId="0" xfId="0" applyFont="1" applyFill="1" applyBorder="1" applyAlignment="1">
      <alignment horizontal="left" indent="1"/>
    </xf>
    <xf numFmtId="3" fontId="20" fillId="0" borderId="0" xfId="0" applyNumberFormat="1" applyFont="1" applyFill="1" applyBorder="1" applyAlignment="1">
      <alignment horizontal="right" vertical="center" indent="1"/>
    </xf>
    <xf numFmtId="0" fontId="11" fillId="0" borderId="0" xfId="0" applyFont="1" applyFill="1" applyBorder="1" applyAlignment="1">
      <alignment horizontal="left" vertical="top" indent="1"/>
    </xf>
    <xf numFmtId="0" fontId="2" fillId="0" borderId="1" xfId="0" applyFont="1" applyFill="1" applyBorder="1" applyAlignment="1">
      <alignment horizontal="left"/>
    </xf>
    <xf numFmtId="3" fontId="2" fillId="0" borderId="1" xfId="0" quotePrefix="1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right" vertical="center" wrapText="1" indent="1"/>
    </xf>
    <xf numFmtId="0" fontId="2" fillId="0" borderId="1" xfId="0" applyFont="1" applyFill="1" applyBorder="1" applyAlignment="1">
      <alignment horizontal="left" vertical="center" indent="2"/>
    </xf>
    <xf numFmtId="0" fontId="11" fillId="0" borderId="0" xfId="0" quotePrefix="1" applyFont="1" applyFill="1" applyBorder="1" applyAlignment="1">
      <alignment horizontal="left" vertical="center" indent="2"/>
    </xf>
    <xf numFmtId="0" fontId="9" fillId="0" borderId="0" xfId="0" applyFont="1" applyFill="1" applyBorder="1" applyAlignment="1">
      <alignment horizontal="left" vertical="center" indent="2"/>
    </xf>
    <xf numFmtId="3" fontId="11" fillId="0" borderId="1" xfId="0" applyNumberFormat="1" applyFont="1" applyBorder="1" applyAlignment="1">
      <alignment horizontal="right" vertical="center" indent="1"/>
    </xf>
    <xf numFmtId="0" fontId="21" fillId="0" borderId="0" xfId="0" applyNumberFormat="1" applyFont="1" applyFill="1"/>
    <xf numFmtId="0" fontId="11" fillId="0" borderId="1" xfId="0" applyFont="1" applyFill="1" applyBorder="1" applyAlignment="1"/>
  </cellXfs>
  <cellStyles count="4">
    <cellStyle name="Comma" xfId="3" builtinId="3"/>
    <cellStyle name="Hyperlink" xfId="1" builtinId="8"/>
    <cellStyle name="Normal" xfId="0" builtinId="0"/>
    <cellStyle name="Normal 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view="pageBreakPreview" topLeftCell="A31" zoomScaleNormal="100" zoomScaleSheetLayoutView="100" workbookViewId="0">
      <selection activeCell="N33" sqref="N33"/>
    </sheetView>
  </sheetViews>
  <sheetFormatPr defaultColWidth="9.140625" defaultRowHeight="15"/>
  <cols>
    <col min="1" max="1" width="1.7109375" style="30" customWidth="1"/>
    <col min="2" max="3" width="10.5703125" style="27" customWidth="1"/>
    <col min="4" max="4" width="11.28515625" style="27" customWidth="1"/>
    <col min="5" max="5" width="18" style="28" customWidth="1"/>
    <col min="6" max="7" width="22.7109375" style="29" customWidth="1"/>
    <col min="8" max="8" width="1.7109375" style="30" customWidth="1"/>
    <col min="9" max="16384" width="9.140625" style="30"/>
  </cols>
  <sheetData>
    <row r="1" spans="1:8" ht="12" customHeight="1">
      <c r="G1" s="199" t="s">
        <v>188</v>
      </c>
    </row>
    <row r="2" spans="1:8" ht="12" customHeight="1">
      <c r="G2" s="75" t="s">
        <v>189</v>
      </c>
    </row>
    <row r="3" spans="1:8" ht="12" customHeight="1">
      <c r="G3" s="75"/>
    </row>
    <row r="4" spans="1:8" ht="12" customHeight="1">
      <c r="G4" s="75"/>
    </row>
    <row r="5" spans="1:8" s="200" customFormat="1" ht="15" customHeight="1">
      <c r="B5" s="88" t="s">
        <v>190</v>
      </c>
      <c r="C5" s="71" t="s">
        <v>191</v>
      </c>
      <c r="D5" s="71"/>
      <c r="F5" s="71"/>
      <c r="G5" s="71"/>
      <c r="H5" s="71"/>
    </row>
    <row r="6" spans="1:8" s="74" customFormat="1" ht="16.5" customHeight="1">
      <c r="B6" s="89" t="s">
        <v>192</v>
      </c>
      <c r="C6" s="74" t="s">
        <v>193</v>
      </c>
    </row>
    <row r="7" spans="1:8" ht="8.1" customHeight="1" thickBot="1"/>
    <row r="8" spans="1:8" ht="4.5" customHeight="1" thickTop="1">
      <c r="A8" s="201"/>
      <c r="B8" s="202"/>
      <c r="C8" s="202"/>
      <c r="D8" s="202"/>
      <c r="E8" s="203"/>
      <c r="F8" s="204"/>
      <c r="G8" s="204"/>
      <c r="H8" s="201"/>
    </row>
    <row r="9" spans="1:8" s="208" customFormat="1" ht="31.5" customHeight="1">
      <c r="A9" s="205"/>
      <c r="B9" s="206" t="s">
        <v>194</v>
      </c>
      <c r="C9" s="205"/>
      <c r="D9" s="57" t="s">
        <v>100</v>
      </c>
      <c r="E9" s="57" t="s">
        <v>95</v>
      </c>
      <c r="F9" s="207" t="s">
        <v>96</v>
      </c>
      <c r="G9" s="207" t="s">
        <v>97</v>
      </c>
      <c r="H9" s="205"/>
    </row>
    <row r="10" spans="1:8" s="37" customFormat="1" ht="7.5" customHeight="1">
      <c r="B10" s="38"/>
      <c r="C10" s="38"/>
      <c r="D10" s="38"/>
      <c r="E10" s="43"/>
      <c r="F10" s="103"/>
      <c r="G10" s="103"/>
    </row>
    <row r="11" spans="1:8" s="37" customFormat="1" ht="12.95" customHeight="1">
      <c r="B11" s="118" t="s">
        <v>195</v>
      </c>
      <c r="C11" s="209"/>
      <c r="D11" s="69">
        <v>2015</v>
      </c>
      <c r="E11" s="174">
        <f>E15+E19+E27+E31+E35+E43+E47+E51+E55+E59+E63+E67+E23+E39</f>
        <v>115544</v>
      </c>
      <c r="F11" s="174">
        <f>F15+F19+F27+F31+F35+F43+F47+F51+F55+F59+F63+F67+F23+F39</f>
        <v>21809</v>
      </c>
      <c r="G11" s="174">
        <f>G15+G19+G27+G31+G35+G43+G47+G51+G55+G59+G63+G67+G23+G39</f>
        <v>93735</v>
      </c>
    </row>
    <row r="12" spans="1:8" ht="12.95" customHeight="1">
      <c r="B12" s="210"/>
      <c r="C12" s="210"/>
      <c r="D12" s="67">
        <v>2016</v>
      </c>
      <c r="E12" s="174">
        <f t="shared" ref="E12:G13" si="0">E16+E20+E28+E32+E36+E44+E48+E52+E56+E60+E64+E68+E24+E40</f>
        <v>112354</v>
      </c>
      <c r="F12" s="60">
        <f t="shared" si="0"/>
        <v>22326</v>
      </c>
      <c r="G12" s="60">
        <f t="shared" si="0"/>
        <v>90028</v>
      </c>
    </row>
    <row r="13" spans="1:8" ht="12.95" customHeight="1">
      <c r="B13" s="210"/>
      <c r="C13" s="210"/>
      <c r="D13" s="67">
        <v>2017</v>
      </c>
      <c r="E13" s="174">
        <f t="shared" si="0"/>
        <v>99168</v>
      </c>
      <c r="F13" s="60">
        <f t="shared" si="0"/>
        <v>21366</v>
      </c>
      <c r="G13" s="60">
        <f>G17+G21+G29+G33+G37+G45+G49+G53+G57+G61+G65+G69+G25+G41</f>
        <v>77802</v>
      </c>
    </row>
    <row r="14" spans="1:8" ht="8.1" customHeight="1">
      <c r="B14" s="112"/>
      <c r="C14" s="112"/>
      <c r="D14" s="176"/>
      <c r="E14" s="211"/>
      <c r="F14" s="211"/>
      <c r="G14" s="211"/>
    </row>
    <row r="15" spans="1:8" ht="12.95" customHeight="1">
      <c r="B15" s="112" t="s">
        <v>99</v>
      </c>
      <c r="C15" s="112"/>
      <c r="D15" s="170">
        <v>2015</v>
      </c>
      <c r="E15" s="211">
        <v>13480</v>
      </c>
      <c r="F15" s="211">
        <v>2413</v>
      </c>
      <c r="G15" s="211">
        <v>11067</v>
      </c>
    </row>
    <row r="16" spans="1:8" ht="12.95" customHeight="1">
      <c r="B16" s="112"/>
      <c r="C16" s="112"/>
      <c r="D16" s="176">
        <v>2016</v>
      </c>
      <c r="E16" s="211">
        <v>12941</v>
      </c>
      <c r="F16" s="211">
        <v>2820</v>
      </c>
      <c r="G16" s="211">
        <v>10121</v>
      </c>
    </row>
    <row r="17" spans="2:8" ht="12.95" customHeight="1">
      <c r="B17" s="112"/>
      <c r="C17" s="112"/>
      <c r="D17" s="176">
        <v>2017</v>
      </c>
      <c r="E17" s="211">
        <f>F17+G17</f>
        <v>11307</v>
      </c>
      <c r="F17" s="211">
        <v>2578</v>
      </c>
      <c r="G17" s="211">
        <v>8729</v>
      </c>
    </row>
    <row r="18" spans="2:8" ht="8.1" customHeight="1">
      <c r="B18" s="112"/>
      <c r="C18" s="112"/>
      <c r="D18" s="176"/>
      <c r="E18" s="211"/>
      <c r="F18" s="211"/>
      <c r="G18" s="211"/>
    </row>
    <row r="19" spans="2:8" ht="12.95" customHeight="1">
      <c r="B19" s="112" t="s">
        <v>102</v>
      </c>
      <c r="C19" s="112"/>
      <c r="D19" s="170">
        <v>2015</v>
      </c>
      <c r="E19" s="211">
        <v>7817</v>
      </c>
      <c r="F19" s="211">
        <v>1311</v>
      </c>
      <c r="G19" s="211">
        <v>6506</v>
      </c>
    </row>
    <row r="20" spans="2:8" ht="12.95" customHeight="1">
      <c r="B20" s="112"/>
      <c r="C20" s="112"/>
      <c r="D20" s="176">
        <v>2016</v>
      </c>
      <c r="E20" s="211">
        <v>7440</v>
      </c>
      <c r="F20" s="211">
        <v>1239</v>
      </c>
      <c r="G20" s="211">
        <v>6201</v>
      </c>
    </row>
    <row r="21" spans="2:8" ht="12.95" customHeight="1">
      <c r="B21" s="112"/>
      <c r="C21" s="112"/>
      <c r="D21" s="176">
        <v>2017</v>
      </c>
      <c r="E21" s="211">
        <f>F21+G21</f>
        <v>6759</v>
      </c>
      <c r="F21" s="211">
        <v>996</v>
      </c>
      <c r="G21" s="211">
        <v>5763</v>
      </c>
    </row>
    <row r="22" spans="2:8" ht="8.1" customHeight="1">
      <c r="B22" s="112"/>
      <c r="C22" s="112"/>
      <c r="D22" s="176"/>
      <c r="E22" s="211"/>
      <c r="F22" s="211"/>
      <c r="G22" s="211"/>
    </row>
    <row r="23" spans="2:8" ht="12.95" customHeight="1">
      <c r="B23" s="112" t="s">
        <v>196</v>
      </c>
      <c r="C23" s="112"/>
      <c r="D23" s="170">
        <v>2015</v>
      </c>
      <c r="E23" s="211">
        <v>5031</v>
      </c>
      <c r="F23" s="211">
        <v>644</v>
      </c>
      <c r="G23" s="211">
        <v>4387</v>
      </c>
    </row>
    <row r="24" spans="2:8" ht="12.95" customHeight="1">
      <c r="B24" s="112"/>
      <c r="C24" s="112"/>
      <c r="D24" s="176">
        <v>2016</v>
      </c>
      <c r="E24" s="211">
        <v>4548</v>
      </c>
      <c r="F24" s="211">
        <v>543</v>
      </c>
      <c r="G24" s="211">
        <v>4005</v>
      </c>
    </row>
    <row r="25" spans="2:8" ht="12.95" customHeight="1">
      <c r="B25" s="112"/>
      <c r="C25" s="112"/>
      <c r="D25" s="176">
        <v>2017</v>
      </c>
      <c r="E25" s="211">
        <f>F25+G25</f>
        <v>4520</v>
      </c>
      <c r="F25" s="211">
        <v>600</v>
      </c>
      <c r="G25" s="211">
        <v>3920</v>
      </c>
    </row>
    <row r="26" spans="2:8" ht="8.1" customHeight="1">
      <c r="B26" s="112"/>
      <c r="C26" s="112"/>
      <c r="D26" s="176"/>
      <c r="E26" s="211"/>
      <c r="F26" s="211"/>
      <c r="G26" s="211"/>
    </row>
    <row r="27" spans="2:8" ht="12.95" customHeight="1">
      <c r="B27" s="112" t="s">
        <v>197</v>
      </c>
      <c r="C27" s="112"/>
      <c r="D27" s="170">
        <v>2015</v>
      </c>
      <c r="E27" s="211">
        <v>2948</v>
      </c>
      <c r="F27" s="211">
        <v>586</v>
      </c>
      <c r="G27" s="211">
        <v>2362</v>
      </c>
    </row>
    <row r="28" spans="2:8" ht="12.95" customHeight="1">
      <c r="B28" s="112"/>
      <c r="C28" s="112"/>
      <c r="D28" s="176">
        <v>2016</v>
      </c>
      <c r="E28" s="211">
        <v>3664</v>
      </c>
      <c r="F28" s="211">
        <v>1154</v>
      </c>
      <c r="G28" s="211">
        <v>2510</v>
      </c>
    </row>
    <row r="29" spans="2:8" ht="12.95" customHeight="1">
      <c r="B29" s="112"/>
      <c r="C29" s="112"/>
      <c r="D29" s="176">
        <v>2017</v>
      </c>
      <c r="E29" s="211">
        <f>F29+G29</f>
        <v>3097</v>
      </c>
      <c r="F29" s="211">
        <v>842</v>
      </c>
      <c r="G29" s="211">
        <v>2255</v>
      </c>
    </row>
    <row r="30" spans="2:8" ht="8.1" customHeight="1">
      <c r="B30" s="112"/>
      <c r="C30" s="112"/>
      <c r="D30" s="176"/>
      <c r="E30" s="211"/>
      <c r="F30" s="211"/>
      <c r="G30" s="211"/>
    </row>
    <row r="31" spans="2:8" s="27" customFormat="1" ht="12.95" customHeight="1">
      <c r="B31" s="112" t="s">
        <v>31</v>
      </c>
      <c r="C31" s="112"/>
      <c r="D31" s="170">
        <v>2015</v>
      </c>
      <c r="E31" s="211">
        <v>4787</v>
      </c>
      <c r="F31" s="211">
        <v>1279</v>
      </c>
      <c r="G31" s="211">
        <v>3508</v>
      </c>
      <c r="H31" s="30"/>
    </row>
    <row r="32" spans="2:8" ht="12.95" customHeight="1">
      <c r="B32" s="112"/>
      <c r="C32" s="112"/>
      <c r="D32" s="176">
        <v>2016</v>
      </c>
      <c r="E32" s="211">
        <v>4474</v>
      </c>
      <c r="F32" s="211">
        <v>1084</v>
      </c>
      <c r="G32" s="211">
        <v>3390</v>
      </c>
    </row>
    <row r="33" spans="2:7" ht="12.95" customHeight="1">
      <c r="B33" s="112"/>
      <c r="C33" s="112"/>
      <c r="D33" s="176">
        <v>2017</v>
      </c>
      <c r="E33" s="211">
        <f>F33+G33</f>
        <v>3973</v>
      </c>
      <c r="F33" s="211">
        <v>884</v>
      </c>
      <c r="G33" s="211">
        <v>3089</v>
      </c>
    </row>
    <row r="34" spans="2:7" ht="8.1" customHeight="1">
      <c r="B34" s="112"/>
      <c r="C34" s="112"/>
      <c r="D34" s="176"/>
      <c r="E34" s="211"/>
      <c r="F34" s="211"/>
      <c r="G34" s="211"/>
    </row>
    <row r="35" spans="2:7" ht="12.95" customHeight="1">
      <c r="B35" s="112" t="s">
        <v>103</v>
      </c>
      <c r="C35" s="112"/>
      <c r="D35" s="170">
        <v>2015</v>
      </c>
      <c r="E35" s="211">
        <v>4257</v>
      </c>
      <c r="F35" s="211">
        <v>677</v>
      </c>
      <c r="G35" s="211">
        <v>3580</v>
      </c>
    </row>
    <row r="36" spans="2:7" ht="12.95" customHeight="1">
      <c r="B36" s="112"/>
      <c r="C36" s="112"/>
      <c r="D36" s="176">
        <v>2016</v>
      </c>
      <c r="E36" s="211">
        <v>3777</v>
      </c>
      <c r="F36" s="211">
        <v>651</v>
      </c>
      <c r="G36" s="211">
        <v>3126</v>
      </c>
    </row>
    <row r="37" spans="2:7" ht="12.95" customHeight="1">
      <c r="B37" s="112"/>
      <c r="C37" s="112"/>
      <c r="D37" s="176">
        <v>2017</v>
      </c>
      <c r="E37" s="211">
        <f>F37+G37</f>
        <v>3607</v>
      </c>
      <c r="F37" s="211">
        <v>656</v>
      </c>
      <c r="G37" s="211">
        <v>2951</v>
      </c>
    </row>
    <row r="38" spans="2:7" ht="8.1" customHeight="1">
      <c r="B38" s="112"/>
      <c r="C38" s="112"/>
      <c r="D38" s="176"/>
      <c r="E38" s="211"/>
      <c r="F38" s="211"/>
      <c r="G38" s="211"/>
    </row>
    <row r="39" spans="2:7" ht="12.95" customHeight="1">
      <c r="B39" s="112" t="s">
        <v>182</v>
      </c>
      <c r="C39" s="112"/>
      <c r="D39" s="170">
        <v>2015</v>
      </c>
      <c r="E39" s="211">
        <v>6228</v>
      </c>
      <c r="F39" s="211">
        <v>1288</v>
      </c>
      <c r="G39" s="211">
        <v>4940</v>
      </c>
    </row>
    <row r="40" spans="2:7" ht="12.95" customHeight="1">
      <c r="B40" s="112"/>
      <c r="C40" s="112"/>
      <c r="D40" s="176">
        <v>2016</v>
      </c>
      <c r="E40" s="211">
        <v>5841</v>
      </c>
      <c r="F40" s="211">
        <v>1295</v>
      </c>
      <c r="G40" s="211">
        <v>4546</v>
      </c>
    </row>
    <row r="41" spans="2:7" ht="12.95" customHeight="1">
      <c r="B41" s="112"/>
      <c r="C41" s="112"/>
      <c r="D41" s="176">
        <v>2017</v>
      </c>
      <c r="E41" s="211">
        <f>F41+G41</f>
        <v>5326</v>
      </c>
      <c r="F41" s="211">
        <v>1140</v>
      </c>
      <c r="G41" s="211">
        <v>4186</v>
      </c>
    </row>
    <row r="42" spans="2:7" ht="8.1" customHeight="1">
      <c r="B42" s="112"/>
      <c r="C42" s="112"/>
      <c r="D42" s="176"/>
      <c r="E42" s="211"/>
      <c r="F42" s="211"/>
      <c r="G42" s="211"/>
    </row>
    <row r="43" spans="2:7" ht="12.95" customHeight="1">
      <c r="B43" s="112" t="s">
        <v>49</v>
      </c>
      <c r="C43" s="112"/>
      <c r="D43" s="170">
        <v>2015</v>
      </c>
      <c r="E43" s="211">
        <v>741</v>
      </c>
      <c r="F43" s="211">
        <v>142</v>
      </c>
      <c r="G43" s="211">
        <v>599</v>
      </c>
    </row>
    <row r="44" spans="2:7" ht="12.95" customHeight="1">
      <c r="B44" s="112"/>
      <c r="C44" s="112"/>
      <c r="D44" s="176">
        <v>2016</v>
      </c>
      <c r="E44" s="211">
        <v>655</v>
      </c>
      <c r="F44" s="211">
        <v>109</v>
      </c>
      <c r="G44" s="211">
        <v>546</v>
      </c>
    </row>
    <row r="45" spans="2:7" ht="12.95" customHeight="1">
      <c r="B45" s="112"/>
      <c r="C45" s="112"/>
      <c r="D45" s="176">
        <v>2017</v>
      </c>
      <c r="E45" s="211">
        <f>F45+G45</f>
        <v>603</v>
      </c>
      <c r="F45" s="211">
        <v>132</v>
      </c>
      <c r="G45" s="211">
        <v>471</v>
      </c>
    </row>
    <row r="46" spans="2:7" ht="8.1" customHeight="1">
      <c r="B46" s="112"/>
      <c r="C46" s="112"/>
      <c r="D46" s="176"/>
      <c r="E46" s="211"/>
      <c r="F46" s="211"/>
      <c r="G46" s="211"/>
    </row>
    <row r="47" spans="2:7" ht="12.95" customHeight="1">
      <c r="B47" s="112" t="s">
        <v>50</v>
      </c>
      <c r="C47" s="112"/>
      <c r="D47" s="170">
        <v>2015</v>
      </c>
      <c r="E47" s="211">
        <v>6697</v>
      </c>
      <c r="F47" s="211">
        <v>1211</v>
      </c>
      <c r="G47" s="211">
        <v>5486</v>
      </c>
    </row>
    <row r="48" spans="2:7" ht="12.95" customHeight="1">
      <c r="B48" s="112"/>
      <c r="C48" s="112"/>
      <c r="D48" s="176">
        <v>2016</v>
      </c>
      <c r="E48" s="211">
        <v>6116</v>
      </c>
      <c r="F48" s="211">
        <v>1038</v>
      </c>
      <c r="G48" s="211">
        <v>5078</v>
      </c>
    </row>
    <row r="49" spans="2:7" ht="12.95" customHeight="1">
      <c r="B49" s="112"/>
      <c r="C49" s="112"/>
      <c r="D49" s="176">
        <v>2017</v>
      </c>
      <c r="E49" s="211">
        <f>F49+G49</f>
        <v>5551</v>
      </c>
      <c r="F49" s="211">
        <v>1078</v>
      </c>
      <c r="G49" s="211">
        <v>4473</v>
      </c>
    </row>
    <row r="50" spans="2:7" ht="8.1" customHeight="1">
      <c r="B50" s="112"/>
      <c r="C50" s="112"/>
      <c r="D50" s="176"/>
      <c r="E50" s="211"/>
      <c r="F50" s="211"/>
      <c r="G50" s="211"/>
    </row>
    <row r="51" spans="2:7" ht="12.95" customHeight="1">
      <c r="B51" s="112" t="s">
        <v>158</v>
      </c>
      <c r="C51" s="112"/>
      <c r="D51" s="170">
        <v>2015</v>
      </c>
      <c r="E51" s="211">
        <v>5176</v>
      </c>
      <c r="F51" s="211">
        <v>773</v>
      </c>
      <c r="G51" s="211">
        <v>4403</v>
      </c>
    </row>
    <row r="52" spans="2:7" ht="12.95" customHeight="1">
      <c r="B52" s="112"/>
      <c r="C52" s="112"/>
      <c r="D52" s="176">
        <v>2016</v>
      </c>
      <c r="E52" s="211">
        <v>5367</v>
      </c>
      <c r="F52" s="211">
        <v>647</v>
      </c>
      <c r="G52" s="211">
        <v>4720</v>
      </c>
    </row>
    <row r="53" spans="2:7" ht="12.95" customHeight="1">
      <c r="B53" s="112"/>
      <c r="C53" s="112"/>
      <c r="D53" s="176">
        <v>2017</v>
      </c>
      <c r="E53" s="211">
        <f>F53+G53</f>
        <v>6236</v>
      </c>
      <c r="F53" s="211">
        <v>761</v>
      </c>
      <c r="G53" s="211">
        <v>5475</v>
      </c>
    </row>
    <row r="54" spans="2:7" ht="8.1" customHeight="1">
      <c r="B54" s="112"/>
      <c r="C54" s="112"/>
      <c r="D54" s="176"/>
      <c r="E54" s="211"/>
      <c r="F54" s="211"/>
      <c r="G54" s="211"/>
    </row>
    <row r="55" spans="2:7" ht="12.95" customHeight="1">
      <c r="B55" s="112" t="s">
        <v>129</v>
      </c>
      <c r="C55" s="112"/>
      <c r="D55" s="170">
        <v>2015</v>
      </c>
      <c r="E55" s="211">
        <v>7230</v>
      </c>
      <c r="F55" s="211">
        <v>853</v>
      </c>
      <c r="G55" s="211">
        <v>6377</v>
      </c>
    </row>
    <row r="56" spans="2:7" ht="12.95" customHeight="1">
      <c r="B56" s="112"/>
      <c r="C56" s="112"/>
      <c r="D56" s="176">
        <v>2016</v>
      </c>
      <c r="E56" s="211">
        <v>6826</v>
      </c>
      <c r="F56" s="211">
        <v>953</v>
      </c>
      <c r="G56" s="211">
        <v>5873</v>
      </c>
    </row>
    <row r="57" spans="2:7" ht="12.95" customHeight="1">
      <c r="B57" s="112"/>
      <c r="C57" s="112"/>
      <c r="D57" s="176">
        <v>2017</v>
      </c>
      <c r="E57" s="211">
        <f>F57+G57</f>
        <v>6381</v>
      </c>
      <c r="F57" s="211">
        <v>876</v>
      </c>
      <c r="G57" s="211">
        <v>5505</v>
      </c>
    </row>
    <row r="58" spans="2:7" ht="8.1" customHeight="1">
      <c r="B58" s="112"/>
      <c r="C58" s="112"/>
      <c r="D58" s="176"/>
      <c r="E58" s="211"/>
      <c r="F58" s="211"/>
      <c r="G58" s="211"/>
    </row>
    <row r="59" spans="2:7" ht="12.95" customHeight="1">
      <c r="B59" s="112" t="s">
        <v>105</v>
      </c>
      <c r="C59" s="112"/>
      <c r="D59" s="170">
        <v>2015</v>
      </c>
      <c r="E59" s="211">
        <v>32547</v>
      </c>
      <c r="F59" s="211">
        <v>6583</v>
      </c>
      <c r="G59" s="211">
        <v>25964</v>
      </c>
    </row>
    <row r="60" spans="2:7" ht="12.95" customHeight="1">
      <c r="B60" s="112"/>
      <c r="C60" s="112"/>
      <c r="D60" s="176">
        <v>2016</v>
      </c>
      <c r="E60" s="211">
        <v>31222</v>
      </c>
      <c r="F60" s="211">
        <v>6610</v>
      </c>
      <c r="G60" s="211">
        <v>24612</v>
      </c>
    </row>
    <row r="61" spans="2:7" ht="12.95" customHeight="1">
      <c r="B61" s="112"/>
      <c r="C61" s="112"/>
      <c r="D61" s="176">
        <v>2017</v>
      </c>
      <c r="E61" s="211">
        <f>F61+G61</f>
        <v>26069</v>
      </c>
      <c r="F61" s="211">
        <v>6470</v>
      </c>
      <c r="G61" s="211">
        <v>19599</v>
      </c>
    </row>
    <row r="62" spans="2:7" ht="8.1" customHeight="1">
      <c r="B62" s="112"/>
      <c r="C62" s="112"/>
      <c r="D62" s="176"/>
      <c r="E62" s="211"/>
      <c r="F62" s="211"/>
      <c r="G62" s="211"/>
    </row>
    <row r="63" spans="2:7" ht="12.95" customHeight="1">
      <c r="B63" s="112" t="s">
        <v>121</v>
      </c>
      <c r="C63" s="112"/>
      <c r="D63" s="170">
        <v>2015</v>
      </c>
      <c r="E63" s="211">
        <v>2659</v>
      </c>
      <c r="F63" s="211">
        <v>377</v>
      </c>
      <c r="G63" s="211">
        <v>2282</v>
      </c>
    </row>
    <row r="64" spans="2:7" ht="12.95" customHeight="1">
      <c r="B64" s="112"/>
      <c r="C64" s="112"/>
      <c r="D64" s="176">
        <v>2016</v>
      </c>
      <c r="E64" s="211">
        <f>F64+G64</f>
        <v>2494</v>
      </c>
      <c r="F64" s="211">
        <v>407</v>
      </c>
      <c r="G64" s="211">
        <v>2087</v>
      </c>
    </row>
    <row r="65" spans="1:8" ht="12.95" customHeight="1">
      <c r="B65" s="112"/>
      <c r="C65" s="112"/>
      <c r="D65" s="176">
        <v>2017</v>
      </c>
      <c r="E65" s="211">
        <f>F65+G65</f>
        <v>2257</v>
      </c>
      <c r="F65" s="211">
        <v>354</v>
      </c>
      <c r="G65" s="211">
        <v>1903</v>
      </c>
    </row>
    <row r="66" spans="1:8" ht="8.1" customHeight="1">
      <c r="B66" s="112"/>
      <c r="C66" s="112"/>
      <c r="D66" s="176"/>
      <c r="E66" s="211"/>
      <c r="F66" s="211"/>
      <c r="G66" s="211"/>
    </row>
    <row r="67" spans="1:8" ht="12.95" customHeight="1">
      <c r="B67" s="112" t="s">
        <v>183</v>
      </c>
      <c r="C67" s="112"/>
      <c r="D67" s="170">
        <v>2015</v>
      </c>
      <c r="E67" s="211">
        <v>15946</v>
      </c>
      <c r="F67" s="211">
        <v>3672</v>
      </c>
      <c r="G67" s="211">
        <v>12274</v>
      </c>
    </row>
    <row r="68" spans="1:8" ht="12.95" customHeight="1">
      <c r="B68" s="112"/>
      <c r="C68" s="112"/>
      <c r="D68" s="176">
        <v>2016</v>
      </c>
      <c r="E68" s="211">
        <v>16989</v>
      </c>
      <c r="F68" s="211">
        <v>3776</v>
      </c>
      <c r="G68" s="211">
        <v>13213</v>
      </c>
    </row>
    <row r="69" spans="1:8" ht="12.95" customHeight="1">
      <c r="A69" s="37"/>
      <c r="B69" s="91"/>
      <c r="C69" s="91"/>
      <c r="D69" s="170">
        <v>2017</v>
      </c>
      <c r="E69" s="175">
        <f>F69+G69</f>
        <v>13482</v>
      </c>
      <c r="F69" s="175">
        <v>3999</v>
      </c>
      <c r="G69" s="175">
        <v>9483</v>
      </c>
      <c r="H69" s="37"/>
    </row>
    <row r="70" spans="1:8" ht="8.1" customHeight="1" thickBot="1">
      <c r="A70" s="50"/>
      <c r="B70" s="212"/>
      <c r="C70" s="212"/>
      <c r="D70" s="212"/>
      <c r="E70" s="213"/>
      <c r="F70" s="214"/>
      <c r="G70" s="214"/>
      <c r="H70" s="50"/>
    </row>
    <row r="71" spans="1:8">
      <c r="G71" s="215" t="s">
        <v>104</v>
      </c>
    </row>
    <row r="72" spans="1:8">
      <c r="G72" s="216" t="s">
        <v>1</v>
      </c>
    </row>
    <row r="73" spans="1:8" s="217" customFormat="1" ht="11.25">
      <c r="B73" s="218" t="s">
        <v>198</v>
      </c>
      <c r="C73" s="218"/>
      <c r="D73" s="218"/>
      <c r="E73" s="219"/>
      <c r="F73" s="220"/>
      <c r="G73" s="220"/>
    </row>
    <row r="74" spans="1:8" s="217" customFormat="1" ht="11.25">
      <c r="B74" s="221" t="s">
        <v>199</v>
      </c>
      <c r="C74" s="218"/>
      <c r="D74" s="218"/>
      <c r="E74" s="219"/>
      <c r="F74" s="220"/>
      <c r="G74" s="220"/>
    </row>
    <row r="75" spans="1:8" s="217" customFormat="1" ht="11.25">
      <c r="B75" s="222" t="s">
        <v>200</v>
      </c>
      <c r="C75" s="218"/>
      <c r="D75" s="218"/>
      <c r="E75" s="219"/>
      <c r="F75" s="220"/>
      <c r="G75" s="220"/>
    </row>
    <row r="76" spans="1:8" s="217" customFormat="1" ht="11.25">
      <c r="B76" s="221" t="s">
        <v>201</v>
      </c>
      <c r="C76" s="218"/>
      <c r="D76" s="218"/>
      <c r="E76" s="219"/>
      <c r="F76" s="220"/>
      <c r="G76" s="220"/>
    </row>
    <row r="77" spans="1:8" s="217" customFormat="1" ht="11.25">
      <c r="B77" s="223" t="s">
        <v>202</v>
      </c>
      <c r="C77" s="218"/>
      <c r="D77" s="218"/>
      <c r="E77" s="219"/>
      <c r="F77" s="220"/>
      <c r="G77" s="220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5" fitToWidth="0" orientation="portrait" r:id="rId1"/>
  <headerFooter>
    <oddHeader xml:space="preserve">&amp;R&amp;"-,Bold"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69"/>
  <sheetViews>
    <sheetView showGridLines="0" topLeftCell="A10" zoomScaleNormal="100" zoomScaleSheetLayoutView="100" workbookViewId="0">
      <selection activeCell="P43" sqref="P43"/>
    </sheetView>
  </sheetViews>
  <sheetFormatPr defaultColWidth="9.140625" defaultRowHeight="15"/>
  <cols>
    <col min="1" max="1" width="1.7109375" style="2" customWidth="1"/>
    <col min="2" max="2" width="10.7109375" style="3" customWidth="1"/>
    <col min="3" max="3" width="12.28515625" style="3" customWidth="1"/>
    <col min="4" max="4" width="10.85546875" style="3" customWidth="1"/>
    <col min="5" max="5" width="15.7109375" style="21" customWidth="1"/>
    <col min="6" max="7" width="23.7109375" style="22" customWidth="1"/>
    <col min="8" max="8" width="0.85546875" style="2" customWidth="1"/>
    <col min="9" max="16384" width="9.140625" style="2"/>
  </cols>
  <sheetData>
    <row r="1" spans="1:8" s="30" customFormat="1" ht="12" customHeight="1">
      <c r="B1" s="27"/>
      <c r="C1" s="27"/>
      <c r="D1" s="27"/>
      <c r="E1" s="28"/>
      <c r="F1" s="29"/>
      <c r="G1" s="179" t="s">
        <v>188</v>
      </c>
    </row>
    <row r="2" spans="1:8" s="30" customFormat="1" ht="12" customHeight="1">
      <c r="B2" s="27"/>
      <c r="C2" s="27"/>
      <c r="D2" s="27"/>
      <c r="E2" s="28"/>
      <c r="F2" s="29"/>
      <c r="G2" s="180" t="s">
        <v>189</v>
      </c>
    </row>
    <row r="3" spans="1:8" s="30" customFormat="1" ht="12" customHeight="1">
      <c r="B3" s="27"/>
      <c r="C3" s="27"/>
      <c r="D3" s="27"/>
      <c r="E3" s="28"/>
      <c r="F3" s="29"/>
      <c r="G3" s="75"/>
    </row>
    <row r="4" spans="1:8" s="30" customFormat="1" ht="12" customHeight="1">
      <c r="B4" s="27"/>
      <c r="C4" s="27"/>
      <c r="D4" s="27"/>
      <c r="E4" s="28"/>
      <c r="F4" s="29"/>
      <c r="G4" s="75"/>
    </row>
    <row r="5" spans="1:8" s="55" customFormat="1" ht="15" customHeight="1">
      <c r="B5" s="88" t="s">
        <v>92</v>
      </c>
      <c r="C5" s="71" t="s">
        <v>179</v>
      </c>
      <c r="D5" s="71"/>
      <c r="E5" s="70"/>
      <c r="F5" s="71"/>
      <c r="G5" s="71"/>
      <c r="H5" s="71"/>
    </row>
    <row r="6" spans="1:8" s="72" customFormat="1" ht="15" customHeight="1">
      <c r="B6" s="89" t="s">
        <v>93</v>
      </c>
      <c r="C6" s="189" t="s">
        <v>180</v>
      </c>
      <c r="D6" s="189"/>
      <c r="E6" s="189"/>
      <c r="F6" s="189"/>
      <c r="G6" s="189"/>
      <c r="H6" s="74"/>
    </row>
    <row r="7" spans="1:8" ht="9.9499999999999993" customHeight="1" thickBot="1"/>
    <row r="8" spans="1:8" s="55" customFormat="1" ht="20.100000000000001" customHeight="1" thickTop="1">
      <c r="A8" s="53"/>
      <c r="B8" s="196" t="s">
        <v>98</v>
      </c>
      <c r="C8" s="196"/>
      <c r="D8" s="190" t="s">
        <v>100</v>
      </c>
      <c r="E8" s="190" t="s">
        <v>95</v>
      </c>
      <c r="F8" s="192" t="s">
        <v>96</v>
      </c>
      <c r="G8" s="192" t="s">
        <v>97</v>
      </c>
      <c r="H8" s="54"/>
    </row>
    <row r="9" spans="1:8" s="55" customFormat="1" ht="33" customHeight="1">
      <c r="A9" s="56"/>
      <c r="B9" s="197"/>
      <c r="C9" s="197"/>
      <c r="D9" s="191"/>
      <c r="E9" s="191"/>
      <c r="F9" s="193"/>
      <c r="G9" s="193"/>
      <c r="H9" s="57"/>
    </row>
    <row r="10" spans="1:8" s="6" customFormat="1" ht="22.5" customHeight="1">
      <c r="B10" s="133" t="s">
        <v>181</v>
      </c>
      <c r="C10" s="13"/>
      <c r="D10" s="13"/>
      <c r="E10" s="9"/>
      <c r="F10" s="9"/>
      <c r="G10" s="9"/>
    </row>
    <row r="11" spans="1:8" s="111" customFormat="1" ht="15" customHeight="1">
      <c r="B11" s="62" t="s">
        <v>168</v>
      </c>
      <c r="C11" s="62"/>
      <c r="D11" s="170">
        <v>2015</v>
      </c>
      <c r="E11" s="175">
        <v>338</v>
      </c>
      <c r="F11" s="175">
        <v>58</v>
      </c>
      <c r="G11" s="175">
        <v>280</v>
      </c>
    </row>
    <row r="12" spans="1:8" s="111" customFormat="1" ht="15" customHeight="1">
      <c r="C12" s="62"/>
      <c r="D12" s="170">
        <v>2016</v>
      </c>
      <c r="E12" s="175">
        <v>307</v>
      </c>
      <c r="F12" s="175">
        <v>49</v>
      </c>
      <c r="G12" s="175">
        <v>258</v>
      </c>
    </row>
    <row r="13" spans="1:8" s="111" customFormat="1" ht="15" customHeight="1">
      <c r="C13" s="62"/>
      <c r="D13" s="170">
        <v>2017</v>
      </c>
      <c r="E13" s="175">
        <f>SUM(F13:G13)</f>
        <v>284</v>
      </c>
      <c r="F13" s="173">
        <v>48</v>
      </c>
      <c r="G13" s="175">
        <v>236</v>
      </c>
    </row>
    <row r="14" spans="1:8" s="111" customFormat="1" ht="12.95" customHeight="1">
      <c r="C14" s="62"/>
      <c r="D14" s="170"/>
      <c r="E14" s="10"/>
      <c r="F14" s="173"/>
      <c r="G14" s="175"/>
    </row>
    <row r="15" spans="1:8" s="111" customFormat="1" ht="15" customHeight="1">
      <c r="B15" s="62" t="s">
        <v>169</v>
      </c>
      <c r="C15" s="62"/>
      <c r="D15" s="170">
        <v>2015</v>
      </c>
      <c r="E15" s="175">
        <v>134</v>
      </c>
      <c r="F15" s="175">
        <v>26</v>
      </c>
      <c r="G15" s="175">
        <v>108</v>
      </c>
    </row>
    <row r="16" spans="1:8" s="111" customFormat="1" ht="15" customHeight="1">
      <c r="C16" s="62"/>
      <c r="D16" s="170">
        <v>2016</v>
      </c>
      <c r="E16" s="175">
        <v>132</v>
      </c>
      <c r="F16" s="175">
        <v>20</v>
      </c>
      <c r="G16" s="175">
        <v>112</v>
      </c>
    </row>
    <row r="17" spans="2:7" s="111" customFormat="1" ht="15" customHeight="1">
      <c r="C17" s="62"/>
      <c r="D17" s="170">
        <v>2017</v>
      </c>
      <c r="E17" s="175">
        <f>SUM(F17:G17)</f>
        <v>287</v>
      </c>
      <c r="F17" s="175">
        <v>25</v>
      </c>
      <c r="G17" s="175">
        <v>262</v>
      </c>
    </row>
    <row r="18" spans="2:7" s="111" customFormat="1" ht="12.95" customHeight="1">
      <c r="C18" s="62"/>
      <c r="D18" s="170"/>
      <c r="E18" s="10"/>
      <c r="F18" s="175"/>
      <c r="G18" s="175"/>
    </row>
    <row r="19" spans="2:7" s="111" customFormat="1" ht="15" customHeight="1">
      <c r="B19" s="113" t="s">
        <v>170</v>
      </c>
      <c r="C19" s="62"/>
      <c r="D19" s="170">
        <v>2015</v>
      </c>
      <c r="E19" s="175">
        <v>452</v>
      </c>
      <c r="F19" s="175">
        <v>50</v>
      </c>
      <c r="G19" s="175">
        <v>402</v>
      </c>
    </row>
    <row r="20" spans="2:7" s="111" customFormat="1" ht="15" customHeight="1">
      <c r="C20" s="62"/>
      <c r="D20" s="170">
        <v>2016</v>
      </c>
      <c r="E20" s="175">
        <v>431</v>
      </c>
      <c r="F20" s="175">
        <v>48</v>
      </c>
      <c r="G20" s="175">
        <v>383</v>
      </c>
    </row>
    <row r="21" spans="2:7" s="111" customFormat="1" ht="15" customHeight="1">
      <c r="C21" s="113"/>
      <c r="D21" s="170">
        <v>2017</v>
      </c>
      <c r="E21" s="175">
        <f>SUM(F21:G21)</f>
        <v>613</v>
      </c>
      <c r="F21" s="175">
        <v>75</v>
      </c>
      <c r="G21" s="175">
        <v>538</v>
      </c>
    </row>
    <row r="22" spans="2:7" s="111" customFormat="1" ht="12.95" customHeight="1">
      <c r="C22" s="113"/>
      <c r="D22" s="170"/>
      <c r="E22" s="10"/>
      <c r="F22" s="175"/>
      <c r="G22" s="175"/>
    </row>
    <row r="23" spans="2:7" s="111" customFormat="1" ht="15" customHeight="1">
      <c r="B23" s="62" t="s">
        <v>171</v>
      </c>
      <c r="C23" s="113"/>
      <c r="D23" s="170">
        <v>2015</v>
      </c>
      <c r="E23" s="175">
        <v>72</v>
      </c>
      <c r="F23" s="173">
        <v>13</v>
      </c>
      <c r="G23" s="175">
        <v>59</v>
      </c>
    </row>
    <row r="24" spans="2:7" s="111" customFormat="1" ht="15" customHeight="1">
      <c r="C24" s="113"/>
      <c r="D24" s="170">
        <v>2016</v>
      </c>
      <c r="E24" s="175">
        <v>97</v>
      </c>
      <c r="F24" s="175">
        <v>20</v>
      </c>
      <c r="G24" s="175">
        <v>77</v>
      </c>
    </row>
    <row r="25" spans="2:7" s="111" customFormat="1" ht="15" customHeight="1">
      <c r="C25" s="62"/>
      <c r="D25" s="170">
        <v>2017</v>
      </c>
      <c r="E25" s="175">
        <f>SUM(F25:G25)</f>
        <v>73</v>
      </c>
      <c r="F25" s="175">
        <v>16</v>
      </c>
      <c r="G25" s="175">
        <v>57</v>
      </c>
    </row>
    <row r="26" spans="2:7" s="111" customFormat="1" ht="12.95" customHeight="1">
      <c r="C26" s="62"/>
      <c r="D26" s="170"/>
      <c r="E26" s="10"/>
      <c r="F26" s="175"/>
      <c r="G26" s="175"/>
    </row>
    <row r="27" spans="2:7" s="111" customFormat="1" ht="15" customHeight="1">
      <c r="B27" s="62" t="s">
        <v>172</v>
      </c>
      <c r="C27" s="62"/>
      <c r="D27" s="170">
        <v>2015</v>
      </c>
      <c r="E27" s="175">
        <v>532</v>
      </c>
      <c r="F27" s="175">
        <v>56</v>
      </c>
      <c r="G27" s="175">
        <v>476</v>
      </c>
    </row>
    <row r="28" spans="2:7" s="111" customFormat="1" ht="15" customHeight="1">
      <c r="C28" s="62"/>
      <c r="D28" s="170">
        <v>2016</v>
      </c>
      <c r="E28" s="175">
        <v>475</v>
      </c>
      <c r="F28" s="175">
        <v>45</v>
      </c>
      <c r="G28" s="175">
        <v>430</v>
      </c>
    </row>
    <row r="29" spans="2:7" s="111" customFormat="1" ht="15" customHeight="1">
      <c r="C29" s="62"/>
      <c r="D29" s="170">
        <v>2017</v>
      </c>
      <c r="E29" s="175">
        <f>SUM(F29:G29)</f>
        <v>633</v>
      </c>
      <c r="F29" s="173">
        <v>86</v>
      </c>
      <c r="G29" s="175">
        <v>547</v>
      </c>
    </row>
    <row r="30" spans="2:7" s="111" customFormat="1" ht="12.95" customHeight="1">
      <c r="C30" s="62"/>
      <c r="D30" s="170"/>
      <c r="E30" s="10"/>
      <c r="F30" s="173"/>
      <c r="G30" s="175"/>
    </row>
    <row r="31" spans="2:7" s="111" customFormat="1" ht="15" customHeight="1">
      <c r="B31" s="62" t="s">
        <v>173</v>
      </c>
      <c r="C31" s="62"/>
      <c r="D31" s="170">
        <v>2015</v>
      </c>
      <c r="E31" s="175">
        <v>213</v>
      </c>
      <c r="F31" s="175">
        <v>40</v>
      </c>
      <c r="G31" s="175">
        <v>173</v>
      </c>
    </row>
    <row r="32" spans="2:7" s="111" customFormat="1" ht="15" customHeight="1">
      <c r="C32" s="62"/>
      <c r="D32" s="170">
        <v>2016</v>
      </c>
      <c r="E32" s="175">
        <v>235</v>
      </c>
      <c r="F32" s="175">
        <v>27</v>
      </c>
      <c r="G32" s="175">
        <v>208</v>
      </c>
    </row>
    <row r="33" spans="2:7" s="111" customFormat="1" ht="15" customHeight="1">
      <c r="C33" s="62"/>
      <c r="D33" s="170">
        <v>2017</v>
      </c>
      <c r="E33" s="175">
        <f>SUM(F33:G33)</f>
        <v>359</v>
      </c>
      <c r="F33" s="175">
        <v>38</v>
      </c>
      <c r="G33" s="175">
        <v>321</v>
      </c>
    </row>
    <row r="34" spans="2:7" s="111" customFormat="1" ht="12.95" customHeight="1">
      <c r="C34" s="62"/>
      <c r="D34" s="170"/>
      <c r="E34" s="10"/>
      <c r="F34" s="175"/>
      <c r="G34" s="175"/>
    </row>
    <row r="35" spans="2:7" s="111" customFormat="1" ht="15" customHeight="1">
      <c r="B35" s="62" t="s">
        <v>174</v>
      </c>
      <c r="C35" s="62"/>
      <c r="D35" s="170">
        <v>2015</v>
      </c>
      <c r="E35" s="175">
        <v>95</v>
      </c>
      <c r="F35" s="175">
        <v>12</v>
      </c>
      <c r="G35" s="175">
        <v>83</v>
      </c>
    </row>
    <row r="36" spans="2:7" s="111" customFormat="1" ht="15" customHeight="1">
      <c r="C36" s="62"/>
      <c r="D36" s="170">
        <v>2016</v>
      </c>
      <c r="E36" s="175">
        <v>118</v>
      </c>
      <c r="F36" s="175">
        <v>16</v>
      </c>
      <c r="G36" s="175">
        <v>102</v>
      </c>
    </row>
    <row r="37" spans="2:7" s="111" customFormat="1" ht="15" customHeight="1">
      <c r="C37" s="62"/>
      <c r="D37" s="170">
        <v>2017</v>
      </c>
      <c r="E37" s="175">
        <f>SUM(F37:G37)</f>
        <v>102</v>
      </c>
      <c r="F37" s="173">
        <v>6</v>
      </c>
      <c r="G37" s="173">
        <v>96</v>
      </c>
    </row>
    <row r="38" spans="2:7" s="111" customFormat="1" ht="12.95" customHeight="1">
      <c r="C38" s="62"/>
      <c r="D38" s="170"/>
      <c r="E38" s="10"/>
      <c r="F38" s="173"/>
      <c r="G38" s="173"/>
    </row>
    <row r="39" spans="2:7" s="111" customFormat="1" ht="15" customHeight="1">
      <c r="B39" s="62" t="s">
        <v>175</v>
      </c>
      <c r="C39" s="62"/>
      <c r="D39" s="170">
        <v>2015</v>
      </c>
      <c r="E39" s="175">
        <v>998</v>
      </c>
      <c r="F39" s="175">
        <v>115</v>
      </c>
      <c r="G39" s="175">
        <v>883</v>
      </c>
    </row>
    <row r="40" spans="2:7" s="111" customFormat="1" ht="15" customHeight="1">
      <c r="C40" s="62"/>
      <c r="D40" s="170">
        <v>2016</v>
      </c>
      <c r="E40" s="175">
        <v>980</v>
      </c>
      <c r="F40" s="175">
        <v>84</v>
      </c>
      <c r="G40" s="175">
        <v>896</v>
      </c>
    </row>
    <row r="41" spans="2:7" s="111" customFormat="1" ht="15" customHeight="1">
      <c r="C41" s="62"/>
      <c r="D41" s="170">
        <v>2017</v>
      </c>
      <c r="E41" s="175">
        <f>SUM(F41:G41)</f>
        <v>1007</v>
      </c>
      <c r="F41" s="175">
        <v>97</v>
      </c>
      <c r="G41" s="175">
        <v>910</v>
      </c>
    </row>
    <row r="42" spans="2:7" s="111" customFormat="1" ht="12.95" customHeight="1">
      <c r="C42" s="62"/>
      <c r="D42" s="170"/>
      <c r="E42" s="10"/>
      <c r="F42" s="175"/>
      <c r="G42" s="175"/>
    </row>
    <row r="43" spans="2:7" s="111" customFormat="1" ht="15" customHeight="1">
      <c r="B43" s="62" t="s">
        <v>176</v>
      </c>
      <c r="C43" s="62"/>
      <c r="D43" s="170">
        <v>2015</v>
      </c>
      <c r="E43" s="175">
        <v>29</v>
      </c>
      <c r="F43" s="173">
        <v>9</v>
      </c>
      <c r="G43" s="175">
        <v>20</v>
      </c>
    </row>
    <row r="44" spans="2:7" s="111" customFormat="1" ht="15" customHeight="1">
      <c r="C44" s="62"/>
      <c r="D44" s="170">
        <v>2016</v>
      </c>
      <c r="E44" s="175">
        <v>52</v>
      </c>
      <c r="F44" s="173">
        <v>11</v>
      </c>
      <c r="G44" s="175">
        <v>41</v>
      </c>
    </row>
    <row r="45" spans="2:7" s="111" customFormat="1" ht="15" customHeight="1">
      <c r="C45" s="62"/>
      <c r="D45" s="170">
        <v>2017</v>
      </c>
      <c r="E45" s="175">
        <f>SUM(F45:G45)</f>
        <v>46</v>
      </c>
      <c r="F45" s="175">
        <v>11</v>
      </c>
      <c r="G45" s="175">
        <v>35</v>
      </c>
    </row>
    <row r="46" spans="2:7" s="111" customFormat="1" ht="12.95" customHeight="1">
      <c r="C46" s="62"/>
      <c r="D46" s="177"/>
      <c r="E46" s="10"/>
      <c r="F46" s="175"/>
      <c r="G46" s="175"/>
    </row>
    <row r="47" spans="2:7" s="111" customFormat="1" ht="15" customHeight="1">
      <c r="B47" s="62" t="s">
        <v>177</v>
      </c>
      <c r="C47" s="62"/>
      <c r="D47" s="170">
        <v>2015</v>
      </c>
      <c r="E47" s="175">
        <v>94</v>
      </c>
      <c r="F47" s="175">
        <v>22</v>
      </c>
      <c r="G47" s="175">
        <v>72</v>
      </c>
    </row>
    <row r="48" spans="2:7" s="111" customFormat="1" ht="15" customHeight="1">
      <c r="C48" s="62"/>
      <c r="D48" s="170">
        <v>2016</v>
      </c>
      <c r="E48" s="175">
        <v>125</v>
      </c>
      <c r="F48" s="175">
        <v>26</v>
      </c>
      <c r="G48" s="175">
        <v>99</v>
      </c>
    </row>
    <row r="49" spans="1:8" s="111" customFormat="1" ht="15" customHeight="1">
      <c r="C49" s="62"/>
      <c r="D49" s="170">
        <v>2017</v>
      </c>
      <c r="E49" s="175">
        <f>SUM(F49:G49)</f>
        <v>124</v>
      </c>
      <c r="F49" s="175">
        <v>21</v>
      </c>
      <c r="G49" s="175">
        <v>103</v>
      </c>
    </row>
    <row r="50" spans="1:8" s="111" customFormat="1" ht="12.95" customHeight="1">
      <c r="C50" s="62"/>
      <c r="D50" s="170"/>
      <c r="E50" s="10"/>
      <c r="F50" s="175"/>
      <c r="G50" s="175"/>
    </row>
    <row r="51" spans="1:8" s="111" customFormat="1" ht="15" customHeight="1">
      <c r="B51" s="62" t="s">
        <v>178</v>
      </c>
      <c r="C51" s="62"/>
      <c r="D51" s="170">
        <v>2015</v>
      </c>
      <c r="E51" s="175">
        <v>207</v>
      </c>
      <c r="F51" s="175">
        <v>22</v>
      </c>
      <c r="G51" s="175">
        <v>185</v>
      </c>
    </row>
    <row r="52" spans="1:8" s="111" customFormat="1" ht="15" customHeight="1">
      <c r="C52" s="62"/>
      <c r="D52" s="170">
        <v>2016</v>
      </c>
      <c r="E52" s="175">
        <v>216</v>
      </c>
      <c r="F52" s="175">
        <v>24</v>
      </c>
      <c r="G52" s="175">
        <v>192</v>
      </c>
    </row>
    <row r="53" spans="1:8" s="111" customFormat="1" ht="15" customHeight="1">
      <c r="A53" s="115"/>
      <c r="B53" s="115"/>
      <c r="C53" s="62"/>
      <c r="D53" s="170">
        <v>2017</v>
      </c>
      <c r="E53" s="175">
        <f>SUM(F53:G53)</f>
        <v>204</v>
      </c>
      <c r="F53" s="175">
        <v>20</v>
      </c>
      <c r="G53" s="175">
        <v>184</v>
      </c>
      <c r="H53" s="115"/>
    </row>
    <row r="54" spans="1:8" s="111" customFormat="1" ht="12.95" customHeight="1" thickBot="1">
      <c r="A54" s="114"/>
      <c r="B54" s="114"/>
      <c r="C54" s="64"/>
      <c r="D54" s="142"/>
      <c r="E54" s="12"/>
      <c r="F54" s="65"/>
      <c r="G54" s="65"/>
      <c r="H54" s="114"/>
    </row>
    <row r="55" spans="1:8">
      <c r="D55" s="139"/>
      <c r="G55" s="8" t="s">
        <v>104</v>
      </c>
    </row>
    <row r="56" spans="1:8">
      <c r="D56" s="139"/>
      <c r="G56" s="41" t="s">
        <v>1</v>
      </c>
    </row>
    <row r="57" spans="1:8">
      <c r="D57" s="139"/>
    </row>
    <row r="58" spans="1:8" s="37" customFormat="1">
      <c r="B58" s="38"/>
      <c r="D58" s="38"/>
      <c r="E58" s="43"/>
      <c r="F58" s="103"/>
      <c r="G58" s="103"/>
    </row>
    <row r="59" spans="1:8" s="37" customFormat="1">
      <c r="B59" s="44"/>
      <c r="D59" s="38"/>
      <c r="E59" s="43"/>
      <c r="F59" s="103"/>
      <c r="G59" s="103"/>
    </row>
    <row r="60" spans="1:8">
      <c r="D60" s="139"/>
    </row>
    <row r="61" spans="1:8">
      <c r="D61" s="139"/>
    </row>
    <row r="62" spans="1:8">
      <c r="D62" s="139"/>
    </row>
    <row r="63" spans="1:8">
      <c r="D63" s="139"/>
    </row>
    <row r="64" spans="1:8" s="3" customFormat="1" ht="15" customHeight="1">
      <c r="D64" s="139"/>
      <c r="E64" s="21"/>
      <c r="F64" s="22"/>
      <c r="G64" s="22"/>
      <c r="H64" s="2"/>
    </row>
    <row r="65" spans="4:4">
      <c r="D65" s="139"/>
    </row>
    <row r="66" spans="4:4">
      <c r="D66" s="139"/>
    </row>
    <row r="67" spans="4:4">
      <c r="D67" s="139"/>
    </row>
    <row r="68" spans="4:4">
      <c r="D68" s="139"/>
    </row>
    <row r="69" spans="4:4">
      <c r="D69" s="139"/>
    </row>
  </sheetData>
  <mergeCells count="6">
    <mergeCell ref="C6:G6"/>
    <mergeCell ref="B8:C9"/>
    <mergeCell ref="D8:D9"/>
    <mergeCell ref="E8:E9"/>
    <mergeCell ref="F8:F9"/>
    <mergeCell ref="G8:G9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0" fitToWidth="0" orientation="portrait" r:id="rId1"/>
  <headerFooter>
    <oddHeader xml:space="preserve">&amp;R&amp;"-,Bold"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69"/>
  <sheetViews>
    <sheetView showGridLines="0" topLeftCell="A10" zoomScaleNormal="100" zoomScaleSheetLayoutView="100" workbookViewId="0">
      <selection activeCell="P43" sqref="P43"/>
    </sheetView>
  </sheetViews>
  <sheetFormatPr defaultColWidth="9.140625" defaultRowHeight="15"/>
  <cols>
    <col min="1" max="1" width="1.7109375" style="2" customWidth="1"/>
    <col min="2" max="2" width="11" style="3" customWidth="1"/>
    <col min="3" max="3" width="12.28515625" style="3" customWidth="1"/>
    <col min="4" max="4" width="10.85546875" style="3" customWidth="1"/>
    <col min="5" max="5" width="15.7109375" style="21" customWidth="1"/>
    <col min="6" max="7" width="23.7109375" style="22" customWidth="1"/>
    <col min="8" max="8" width="0.85546875" style="2" customWidth="1"/>
    <col min="9" max="16384" width="9.140625" style="2"/>
  </cols>
  <sheetData>
    <row r="1" spans="1:8" s="30" customFormat="1" ht="12" customHeight="1">
      <c r="B1" s="27"/>
      <c r="C1" s="27"/>
      <c r="D1" s="27"/>
      <c r="E1" s="28"/>
      <c r="F1" s="29"/>
      <c r="G1" s="179" t="s">
        <v>188</v>
      </c>
    </row>
    <row r="2" spans="1:8" s="30" customFormat="1" ht="12" customHeight="1">
      <c r="B2" s="27"/>
      <c r="C2" s="27"/>
      <c r="D2" s="27"/>
      <c r="E2" s="28"/>
      <c r="F2" s="29"/>
      <c r="G2" s="180" t="s">
        <v>189</v>
      </c>
    </row>
    <row r="3" spans="1:8" s="30" customFormat="1" ht="12" customHeight="1">
      <c r="B3" s="27"/>
      <c r="C3" s="27"/>
      <c r="D3" s="27"/>
      <c r="E3" s="28"/>
      <c r="F3" s="29"/>
      <c r="G3" s="75"/>
    </row>
    <row r="4" spans="1:8" s="30" customFormat="1" ht="12" customHeight="1">
      <c r="B4" s="27"/>
      <c r="C4" s="27"/>
      <c r="D4" s="27"/>
      <c r="E4" s="28"/>
      <c r="F4" s="29"/>
      <c r="G4" s="75"/>
    </row>
    <row r="5" spans="1:8" s="55" customFormat="1" ht="15" customHeight="1">
      <c r="B5" s="88" t="s">
        <v>92</v>
      </c>
      <c r="C5" s="71" t="s">
        <v>179</v>
      </c>
      <c r="D5" s="71"/>
      <c r="E5" s="70"/>
      <c r="F5" s="71"/>
      <c r="G5" s="71"/>
      <c r="H5" s="71"/>
    </row>
    <row r="6" spans="1:8" s="72" customFormat="1" ht="15" customHeight="1">
      <c r="B6" s="89" t="s">
        <v>93</v>
      </c>
      <c r="C6" s="189" t="s">
        <v>180</v>
      </c>
      <c r="D6" s="189"/>
      <c r="E6" s="189"/>
      <c r="F6" s="189"/>
      <c r="G6" s="189"/>
      <c r="H6" s="74"/>
    </row>
    <row r="7" spans="1:8" ht="9.9499999999999993" customHeight="1" thickBot="1"/>
    <row r="8" spans="1:8" s="55" customFormat="1" ht="20.100000000000001" customHeight="1" thickTop="1">
      <c r="A8" s="53"/>
      <c r="B8" s="196" t="s">
        <v>98</v>
      </c>
      <c r="C8" s="196"/>
      <c r="D8" s="190" t="s">
        <v>100</v>
      </c>
      <c r="E8" s="190" t="s">
        <v>95</v>
      </c>
      <c r="F8" s="192" t="s">
        <v>96</v>
      </c>
      <c r="G8" s="192" t="s">
        <v>97</v>
      </c>
      <c r="H8" s="54"/>
    </row>
    <row r="9" spans="1:8" s="55" customFormat="1" ht="33" customHeight="1">
      <c r="A9" s="56"/>
      <c r="B9" s="197"/>
      <c r="C9" s="197"/>
      <c r="D9" s="191"/>
      <c r="E9" s="191"/>
      <c r="F9" s="193"/>
      <c r="G9" s="193"/>
      <c r="H9" s="57"/>
    </row>
    <row r="10" spans="1:8" s="55" customFormat="1" ht="8.1" customHeight="1">
      <c r="A10" s="95"/>
      <c r="B10" s="96"/>
      <c r="C10" s="96"/>
      <c r="D10" s="97"/>
      <c r="E10" s="97"/>
      <c r="F10" s="98"/>
      <c r="G10" s="98"/>
      <c r="H10" s="99"/>
    </row>
    <row r="11" spans="1:8" s="6" customFormat="1" ht="15" customHeight="1">
      <c r="A11" s="115"/>
      <c r="B11" s="118" t="s">
        <v>129</v>
      </c>
      <c r="C11" s="118"/>
      <c r="D11" s="69">
        <v>2015</v>
      </c>
      <c r="E11" s="174">
        <f>E15+E19+E23+E27+E31+E35+E39+E43+'1.2Swk (2)'!E13+'1.2Swk (2)'!E17+'1.2Swk (2)'!E21+'1.2Swk (2)'!E25+'1.2Swk (2)'!E29+'1.2Swk (2)'!E33+'1.2Swk (2)'!E37+'1.2Swk (2)'!E41+'1.2Swk (2)'!E45+'1.2Swk (2)'!E49+'1.2Swk (3)'!E13+'1.2Swk (3)'!E17+'1.2Swk (3)'!E21+'1.2Swk (3)'!E25+'1.2Swk (3)'!E29+'1.2Swk (3)'!E33+'1.2Swk (3)'!E37+'1.2Swk (3)'!E41+'1.2Swk (3)'!E45+'1.2Swk (3)'!E49</f>
        <v>7230</v>
      </c>
      <c r="F11" s="174">
        <f>F15+F19+F23+F27+F31+F35+F39+F43+'1.2Swk (2)'!F13+'1.2Swk (2)'!F17+'1.2Swk (2)'!F21+'1.2Swk (2)'!F25+'1.2Swk (2)'!F29+'1.2Swk (2)'!F33+'1.2Swk (2)'!F37+'1.2Swk (2)'!F41+'1.2Swk (2)'!F45+'1.2Swk (2)'!F49+'1.2Swk (3)'!F13+'1.2Swk (3)'!F17+'1.2Swk (3)'!F21+'1.2Swk (3)'!F25+'1.2Swk (3)'!F29+'1.2Swk (3)'!F33+'1.2Swk (3)'!F37+'1.2Swk (3)'!F41+'1.2Swk (3)'!F45+'1.2Swk (3)'!F49</f>
        <v>853</v>
      </c>
      <c r="G11" s="174">
        <f>G15+G19+G23+G27+G31+G35+G39+G43+'1.2Swk (2)'!G13+'1.2Swk (2)'!G17+'1.2Swk (2)'!G21+'1.2Swk (2)'!G25+'1.2Swk (2)'!G29+'1.2Swk (2)'!G33+'1.2Swk (2)'!G37+'1.2Swk (2)'!G41+'1.2Swk (2)'!G45+'1.2Swk (2)'!G49+'1.2Swk (3)'!G13+'1.2Swk (3)'!G17+'1.2Swk (3)'!G21+'1.2Swk (3)'!G25+'1.2Swk (3)'!G29+'1.2Swk (3)'!G33+'1.2Swk (3)'!G37+'1.2Swk (3)'!G41+'1.2Swk (3)'!G45+'1.2Swk (3)'!G49</f>
        <v>6377</v>
      </c>
      <c r="H11" s="24"/>
    </row>
    <row r="12" spans="1:8" s="6" customFormat="1" ht="15" customHeight="1">
      <c r="A12" s="115"/>
      <c r="B12" s="119"/>
      <c r="C12" s="118"/>
      <c r="D12" s="69">
        <v>2016</v>
      </c>
      <c r="E12" s="174">
        <f>E16+E20+E24+E28+E32+E36+E40+E44+'1.2Swk (2)'!E14+'1.2Swk (2)'!E18+'1.2Swk (2)'!E22+'1.2Swk (2)'!E26+'1.2Swk (2)'!E30+'1.2Swk (2)'!E34+'1.2Swk (2)'!E38+'1.2Swk (2)'!E42+'1.2Swk (2)'!E46+'1.2Swk (2)'!E50+'1.2Swk (3)'!E14+'1.2Swk (3)'!E18+'1.2Swk (3)'!E22+'1.2Swk (3)'!E26+'1.2Swk (3)'!E30+'1.2Swk (3)'!E34+'1.2Swk (3)'!E38+'1.2Swk (3)'!E42+'1.2Swk (3)'!E46+'1.2Swk (3)'!E50</f>
        <v>6826</v>
      </c>
      <c r="F12" s="174">
        <f>F16+F20+F24+F28+F32+F36+F40+F44+'1.2Swk (2)'!F14+'1.2Swk (2)'!F18+'1.2Swk (2)'!F22+'1.2Swk (2)'!F26+'1.2Swk (2)'!F30+'1.2Swk (2)'!F34+'1.2Swk (2)'!F38+'1.2Swk (2)'!F42+'1.2Swk (2)'!F46+'1.2Swk (2)'!F50+'1.2Swk (3)'!F14+'1.2Swk (3)'!F18+'1.2Swk (3)'!F22+'1.2Swk (3)'!F26+'1.2Swk (3)'!F30+'1.2Swk (3)'!F34+'1.2Swk (3)'!F38+'1.2Swk (3)'!F42+'1.2Swk (3)'!F46+'1.2Swk (3)'!F50</f>
        <v>953</v>
      </c>
      <c r="G12" s="174">
        <f>G16+G20+G24+G28+G32+G36+G40+G44+'1.2Swk (2)'!G14+'1.2Swk (2)'!G18+'1.2Swk (2)'!G22+'1.2Swk (2)'!G26+'1.2Swk (2)'!G30+'1.2Swk (2)'!G34+'1.2Swk (2)'!G38+'1.2Swk (2)'!G42+'1.2Swk (2)'!G46+'1.2Swk (2)'!G50+'1.2Swk (3)'!G14+'1.2Swk (3)'!G18+'1.2Swk (3)'!G22+'1.2Swk (3)'!G26+'1.2Swk (3)'!G30+'1.2Swk (3)'!G34+'1.2Swk (3)'!G38+'1.2Swk (3)'!G42+'1.2Swk (3)'!G46+'1.2Swk (3)'!G50</f>
        <v>5873</v>
      </c>
      <c r="H12" s="24"/>
    </row>
    <row r="13" spans="1:8" s="6" customFormat="1" ht="15" customHeight="1">
      <c r="A13" s="115"/>
      <c r="B13" s="119"/>
      <c r="C13" s="118"/>
      <c r="D13" s="69">
        <v>2017</v>
      </c>
      <c r="E13" s="174">
        <f>E17+E21+E25+E29+E33+E37+E41+E45+'1.2Swk (2)'!E15+'1.2Swk (2)'!E19+'1.2Swk (2)'!E23+'1.2Swk (2)'!E27+'1.2Swk (2)'!E31+'1.2Swk (2)'!E35+'1.2Swk (2)'!E39+'1.2Swk (2)'!E43+'1.2Swk (2)'!E47+'1.2Swk (2)'!E51+'1.2Swk (3)'!E15+'1.2Swk (3)'!E19+'1.2Swk (3)'!E23+'1.2Swk (3)'!E27+'1.2Swk (3)'!E31+'1.2Swk (3)'!E35+'1.2Swk (3)'!E39+'1.2Swk (3)'!E43+'1.2Swk (3)'!E47+'1.2Swk (3)'!E51</f>
        <v>6381</v>
      </c>
      <c r="F13" s="174">
        <f>F17+F21+F25+F29+F33+F37+F41+F45+'1.2Swk (2)'!F15+'1.2Swk (2)'!F19+'1.2Swk (2)'!F23+'1.2Swk (2)'!F27+'1.2Swk (2)'!F31+'1.2Swk (2)'!F35+'1.2Swk (2)'!F39+'1.2Swk (2)'!F43+'1.2Swk (2)'!F47+'1.2Swk (2)'!F51+'1.2Swk (3)'!F15+'1.2Swk (3)'!F19+'1.2Swk (3)'!F23+'1.2Swk (3)'!F27+'1.2Swk (3)'!F31+'1.2Swk (3)'!F35+'1.2Swk (3)'!F39+'1.2Swk (3)'!F43+'1.2Swk (3)'!F47+'1.2Swk (3)'!F51</f>
        <v>876</v>
      </c>
      <c r="G13" s="174">
        <f>G17+G21+G25+G29+G33+G37+G41+G45+'1.2Swk (2)'!G15+'1.2Swk (2)'!G19+'1.2Swk (2)'!G23+'1.2Swk (2)'!G27+'1.2Swk (2)'!G31+'1.2Swk (2)'!G35+'1.2Swk (2)'!G39+'1.2Swk (2)'!G43+'1.2Swk (2)'!G47+'1.2Swk (2)'!G51+'1.2Swk (3)'!G15+'1.2Swk (3)'!G19+'1.2Swk (3)'!G23+'1.2Swk (3)'!G27+'1.2Swk (3)'!G31+'1.2Swk (3)'!G35+'1.2Swk (3)'!G39+'1.2Swk (3)'!G43+'1.2Swk (3)'!G47+'1.2Swk (3)'!G51</f>
        <v>5505</v>
      </c>
      <c r="H13" s="24"/>
    </row>
    <row r="14" spans="1:8" s="6" customFormat="1" ht="8.1" customHeight="1">
      <c r="A14" s="24"/>
      <c r="B14" s="116"/>
      <c r="C14" s="13"/>
      <c r="D14" s="13"/>
      <c r="E14" s="9"/>
      <c r="F14" s="9"/>
      <c r="G14" s="9"/>
      <c r="H14" s="24"/>
    </row>
    <row r="15" spans="1:8" s="6" customFormat="1" ht="15" customHeight="1">
      <c r="A15" s="115"/>
      <c r="B15" s="117" t="s">
        <v>130</v>
      </c>
      <c r="C15" s="118"/>
      <c r="D15" s="170">
        <v>2015</v>
      </c>
      <c r="E15" s="175">
        <v>42</v>
      </c>
      <c r="F15" s="175">
        <v>9</v>
      </c>
      <c r="G15" s="175">
        <v>33</v>
      </c>
      <c r="H15" s="24"/>
    </row>
    <row r="16" spans="1:8" s="6" customFormat="1" ht="15" customHeight="1">
      <c r="A16" s="115"/>
      <c r="B16" s="119"/>
      <c r="C16" s="117"/>
      <c r="D16" s="170">
        <v>2016</v>
      </c>
      <c r="E16" s="175">
        <v>55</v>
      </c>
      <c r="F16" s="175">
        <v>14</v>
      </c>
      <c r="G16" s="175">
        <v>41</v>
      </c>
      <c r="H16" s="24"/>
    </row>
    <row r="17" spans="1:8" s="6" customFormat="1" ht="15" customHeight="1">
      <c r="A17" s="115"/>
      <c r="B17" s="119"/>
      <c r="C17" s="117"/>
      <c r="D17" s="170">
        <v>2017</v>
      </c>
      <c r="E17" s="175">
        <v>48</v>
      </c>
      <c r="F17" s="175">
        <v>9</v>
      </c>
      <c r="G17" s="175">
        <v>39</v>
      </c>
      <c r="H17" s="24"/>
    </row>
    <row r="18" spans="1:8" s="6" customFormat="1" ht="9.9499999999999993" customHeight="1">
      <c r="A18" s="115"/>
      <c r="B18" s="119"/>
      <c r="C18" s="117"/>
      <c r="D18" s="170"/>
      <c r="E18" s="175"/>
      <c r="F18" s="175"/>
      <c r="G18" s="175"/>
      <c r="H18" s="24"/>
    </row>
    <row r="19" spans="1:8" s="6" customFormat="1" ht="15" customHeight="1">
      <c r="A19" s="115"/>
      <c r="B19" s="117" t="s">
        <v>131</v>
      </c>
      <c r="C19" s="117"/>
      <c r="D19" s="170">
        <v>2015</v>
      </c>
      <c r="E19" s="175">
        <v>80</v>
      </c>
      <c r="F19" s="175">
        <v>9</v>
      </c>
      <c r="G19" s="175">
        <v>71</v>
      </c>
      <c r="H19" s="24"/>
    </row>
    <row r="20" spans="1:8" s="6" customFormat="1" ht="15" customHeight="1">
      <c r="A20" s="115"/>
      <c r="B20" s="119"/>
      <c r="C20" s="117"/>
      <c r="D20" s="170">
        <v>2016</v>
      </c>
      <c r="E20" s="175">
        <v>72</v>
      </c>
      <c r="F20" s="175">
        <v>17</v>
      </c>
      <c r="G20" s="175">
        <v>55</v>
      </c>
      <c r="H20" s="24"/>
    </row>
    <row r="21" spans="1:8" s="6" customFormat="1" ht="15" customHeight="1">
      <c r="A21" s="115"/>
      <c r="B21" s="119"/>
      <c r="C21" s="117"/>
      <c r="D21" s="170">
        <v>2017</v>
      </c>
      <c r="E21" s="175">
        <v>73</v>
      </c>
      <c r="F21" s="175">
        <v>6</v>
      </c>
      <c r="G21" s="175">
        <v>67</v>
      </c>
      <c r="H21" s="24"/>
    </row>
    <row r="22" spans="1:8" s="6" customFormat="1" ht="9.9499999999999993" customHeight="1">
      <c r="A22" s="115"/>
      <c r="B22" s="119"/>
      <c r="C22" s="117"/>
      <c r="D22" s="170"/>
      <c r="E22" s="175"/>
      <c r="F22" s="175"/>
      <c r="G22" s="175"/>
      <c r="H22" s="24"/>
    </row>
    <row r="23" spans="1:8" s="6" customFormat="1" ht="15" customHeight="1">
      <c r="A23" s="115"/>
      <c r="B23" s="117" t="s">
        <v>132</v>
      </c>
      <c r="C23" s="117"/>
      <c r="D23" s="170">
        <v>2015</v>
      </c>
      <c r="E23" s="175">
        <v>85</v>
      </c>
      <c r="F23" s="175">
        <v>7</v>
      </c>
      <c r="G23" s="175">
        <v>78</v>
      </c>
      <c r="H23" s="24"/>
    </row>
    <row r="24" spans="1:8" s="6" customFormat="1" ht="15" customHeight="1">
      <c r="A24" s="115"/>
      <c r="B24" s="119"/>
      <c r="C24" s="117"/>
      <c r="D24" s="170">
        <v>2016</v>
      </c>
      <c r="E24" s="175">
        <v>76</v>
      </c>
      <c r="F24" s="175">
        <v>7</v>
      </c>
      <c r="G24" s="175">
        <v>69</v>
      </c>
      <c r="H24" s="24"/>
    </row>
    <row r="25" spans="1:8" s="6" customFormat="1" ht="15" customHeight="1">
      <c r="A25" s="115"/>
      <c r="B25" s="119"/>
      <c r="C25" s="117"/>
      <c r="D25" s="170">
        <v>2017</v>
      </c>
      <c r="E25" s="175">
        <v>63</v>
      </c>
      <c r="F25" s="175">
        <v>18</v>
      </c>
      <c r="G25" s="175">
        <v>45</v>
      </c>
      <c r="H25" s="24"/>
    </row>
    <row r="26" spans="1:8" s="6" customFormat="1" ht="9.9499999999999993" customHeight="1">
      <c r="A26" s="115"/>
      <c r="B26" s="119"/>
      <c r="C26" s="117"/>
      <c r="D26" s="170"/>
      <c r="E26" s="175"/>
      <c r="F26" s="175"/>
      <c r="G26" s="175"/>
      <c r="H26" s="24"/>
    </row>
    <row r="27" spans="1:8" s="6" customFormat="1" ht="15" customHeight="1">
      <c r="A27" s="115"/>
      <c r="B27" s="117" t="s">
        <v>133</v>
      </c>
      <c r="C27" s="117"/>
      <c r="D27" s="170">
        <v>2015</v>
      </c>
      <c r="E27" s="175">
        <v>845</v>
      </c>
      <c r="F27" s="175">
        <v>75</v>
      </c>
      <c r="G27" s="175">
        <v>770</v>
      </c>
      <c r="H27" s="24"/>
    </row>
    <row r="28" spans="1:8" s="6" customFormat="1" ht="15" customHeight="1">
      <c r="A28" s="115"/>
      <c r="B28" s="119"/>
      <c r="C28" s="117"/>
      <c r="D28" s="170">
        <v>2016</v>
      </c>
      <c r="E28" s="175">
        <v>682</v>
      </c>
      <c r="F28" s="175">
        <v>72</v>
      </c>
      <c r="G28" s="175">
        <v>610</v>
      </c>
      <c r="H28" s="24"/>
    </row>
    <row r="29" spans="1:8" s="6" customFormat="1" ht="15" customHeight="1">
      <c r="A29" s="115"/>
      <c r="B29" s="119"/>
      <c r="C29" s="117"/>
      <c r="D29" s="170">
        <v>2017</v>
      </c>
      <c r="E29" s="175">
        <v>585</v>
      </c>
      <c r="F29" s="175">
        <v>63</v>
      </c>
      <c r="G29" s="175">
        <v>522</v>
      </c>
      <c r="H29" s="24"/>
    </row>
    <row r="30" spans="1:8" s="6" customFormat="1" ht="9.9499999999999993" customHeight="1">
      <c r="A30" s="115"/>
      <c r="B30" s="119"/>
      <c r="C30" s="117"/>
      <c r="D30" s="170"/>
      <c r="E30" s="175"/>
      <c r="F30" s="175"/>
      <c r="G30" s="175"/>
      <c r="H30" s="24"/>
    </row>
    <row r="31" spans="1:8" s="6" customFormat="1" ht="15" customHeight="1">
      <c r="A31" s="115"/>
      <c r="B31" s="117" t="s">
        <v>134</v>
      </c>
      <c r="C31" s="117"/>
      <c r="D31" s="170">
        <v>2015</v>
      </c>
      <c r="E31" s="175">
        <v>7</v>
      </c>
      <c r="F31" s="175">
        <v>4</v>
      </c>
      <c r="G31" s="175">
        <v>3</v>
      </c>
      <c r="H31" s="24"/>
    </row>
    <row r="32" spans="1:8" s="6" customFormat="1" ht="15" customHeight="1">
      <c r="A32" s="115"/>
      <c r="B32" s="119"/>
      <c r="C32" s="117"/>
      <c r="D32" s="170">
        <v>2016</v>
      </c>
      <c r="E32" s="175">
        <v>34</v>
      </c>
      <c r="F32" s="175">
        <v>3</v>
      </c>
      <c r="G32" s="175">
        <v>31</v>
      </c>
      <c r="H32" s="24"/>
    </row>
    <row r="33" spans="1:8" s="6" customFormat="1" ht="15" customHeight="1">
      <c r="A33" s="115"/>
      <c r="B33" s="119"/>
      <c r="C33" s="117"/>
      <c r="D33" s="170">
        <v>2017</v>
      </c>
      <c r="E33" s="175">
        <v>33</v>
      </c>
      <c r="F33" s="175">
        <v>7</v>
      </c>
      <c r="G33" s="175">
        <v>26</v>
      </c>
      <c r="H33" s="24"/>
    </row>
    <row r="34" spans="1:8" s="6" customFormat="1" ht="9.9499999999999993" customHeight="1">
      <c r="A34" s="115"/>
      <c r="B34" s="119"/>
      <c r="C34" s="117"/>
      <c r="D34" s="170"/>
      <c r="E34" s="175"/>
      <c r="F34" s="175"/>
      <c r="G34" s="175"/>
      <c r="H34" s="24"/>
    </row>
    <row r="35" spans="1:8" s="6" customFormat="1" ht="15" customHeight="1">
      <c r="A35" s="115"/>
      <c r="B35" s="117" t="s">
        <v>135</v>
      </c>
      <c r="C35" s="117"/>
      <c r="D35" s="170">
        <v>2015</v>
      </c>
      <c r="E35" s="175">
        <v>10</v>
      </c>
      <c r="F35" s="175">
        <v>5</v>
      </c>
      <c r="G35" s="175">
        <v>5</v>
      </c>
      <c r="H35" s="24"/>
    </row>
    <row r="36" spans="1:8" s="6" customFormat="1" ht="15" customHeight="1">
      <c r="A36" s="115"/>
      <c r="B36" s="119"/>
      <c r="C36" s="117"/>
      <c r="D36" s="170">
        <v>2016</v>
      </c>
      <c r="E36" s="175">
        <v>13</v>
      </c>
      <c r="F36" s="175">
        <v>3</v>
      </c>
      <c r="G36" s="175">
        <v>10</v>
      </c>
      <c r="H36" s="24"/>
    </row>
    <row r="37" spans="1:8" s="6" customFormat="1" ht="15" customHeight="1">
      <c r="A37" s="115"/>
      <c r="B37" s="119"/>
      <c r="C37" s="117"/>
      <c r="D37" s="170">
        <v>2017</v>
      </c>
      <c r="E37" s="175">
        <v>11</v>
      </c>
      <c r="F37" s="175">
        <v>5</v>
      </c>
      <c r="G37" s="175">
        <v>6</v>
      </c>
      <c r="H37" s="24"/>
    </row>
    <row r="38" spans="1:8" s="6" customFormat="1" ht="9.9499999999999993" customHeight="1">
      <c r="A38" s="115"/>
      <c r="B38" s="119"/>
      <c r="C38" s="117"/>
      <c r="D38" s="170"/>
      <c r="E38" s="175"/>
      <c r="F38" s="175"/>
      <c r="G38" s="175"/>
      <c r="H38" s="24"/>
    </row>
    <row r="39" spans="1:8" s="6" customFormat="1" ht="15" customHeight="1">
      <c r="A39" s="115"/>
      <c r="B39" s="117" t="s">
        <v>136</v>
      </c>
      <c r="C39" s="117"/>
      <c r="D39" s="170">
        <v>2015</v>
      </c>
      <c r="E39" s="175">
        <v>24</v>
      </c>
      <c r="F39" s="175">
        <v>3</v>
      </c>
      <c r="G39" s="175">
        <v>21</v>
      </c>
      <c r="H39" s="24"/>
    </row>
    <row r="40" spans="1:8" s="6" customFormat="1" ht="15" customHeight="1">
      <c r="A40" s="115"/>
      <c r="B40" s="119"/>
      <c r="C40" s="117"/>
      <c r="D40" s="170">
        <v>2016</v>
      </c>
      <c r="E40" s="175">
        <v>24</v>
      </c>
      <c r="F40" s="175">
        <v>2</v>
      </c>
      <c r="G40" s="175">
        <v>22</v>
      </c>
      <c r="H40" s="24"/>
    </row>
    <row r="41" spans="1:8" s="6" customFormat="1" ht="15" customHeight="1">
      <c r="A41" s="115"/>
      <c r="B41" s="119"/>
      <c r="C41" s="117"/>
      <c r="D41" s="170">
        <v>2017</v>
      </c>
      <c r="E41" s="175">
        <v>28</v>
      </c>
      <c r="F41" s="175">
        <v>5</v>
      </c>
      <c r="G41" s="175">
        <v>23</v>
      </c>
      <c r="H41" s="24"/>
    </row>
    <row r="42" spans="1:8" s="6" customFormat="1" ht="9.9499999999999993" customHeight="1">
      <c r="A42" s="115"/>
      <c r="B42" s="119"/>
      <c r="C42" s="117"/>
      <c r="D42" s="170"/>
      <c r="E42" s="175"/>
      <c r="F42" s="175"/>
      <c r="G42" s="175"/>
      <c r="H42" s="24"/>
    </row>
    <row r="43" spans="1:8" s="6" customFormat="1" ht="15" customHeight="1">
      <c r="A43" s="115"/>
      <c r="B43" s="117" t="s">
        <v>137</v>
      </c>
      <c r="C43" s="117"/>
      <c r="D43" s="170">
        <v>2015</v>
      </c>
      <c r="E43" s="175">
        <v>88</v>
      </c>
      <c r="F43" s="175">
        <v>10</v>
      </c>
      <c r="G43" s="175">
        <v>78</v>
      </c>
      <c r="H43" s="24"/>
    </row>
    <row r="44" spans="1:8" s="6" customFormat="1" ht="15" customHeight="1">
      <c r="A44" s="115"/>
      <c r="B44" s="119"/>
      <c r="C44" s="117"/>
      <c r="D44" s="170">
        <v>2016</v>
      </c>
      <c r="E44" s="175">
        <v>72</v>
      </c>
      <c r="F44" s="175">
        <v>16</v>
      </c>
      <c r="G44" s="175">
        <v>56</v>
      </c>
      <c r="H44" s="24"/>
    </row>
    <row r="45" spans="1:8" s="6" customFormat="1" ht="15" customHeight="1">
      <c r="A45" s="115"/>
      <c r="B45" s="119"/>
      <c r="C45" s="117"/>
      <c r="D45" s="170">
        <v>2017</v>
      </c>
      <c r="E45" s="175">
        <v>68</v>
      </c>
      <c r="F45" s="175">
        <v>11</v>
      </c>
      <c r="G45" s="175">
        <v>57</v>
      </c>
      <c r="H45" s="24"/>
    </row>
    <row r="46" spans="1:8" s="6" customFormat="1" ht="8.1" customHeight="1" thickBot="1">
      <c r="A46" s="114"/>
      <c r="B46" s="114"/>
      <c r="C46" s="114"/>
      <c r="D46" s="114"/>
      <c r="E46" s="77"/>
      <c r="F46" s="65"/>
      <c r="G46" s="65"/>
      <c r="H46" s="109"/>
    </row>
    <row r="47" spans="1:8" s="102" customFormat="1" ht="15" customHeight="1">
      <c r="B47" s="110"/>
      <c r="C47" s="110"/>
      <c r="D47" s="110"/>
      <c r="E47" s="8"/>
      <c r="F47" s="101"/>
      <c r="G47" s="8" t="s">
        <v>104</v>
      </c>
    </row>
    <row r="48" spans="1:8" s="18" customFormat="1" ht="15" customHeight="1">
      <c r="B48" s="104"/>
      <c r="C48" s="104"/>
      <c r="D48" s="141"/>
      <c r="E48" s="8"/>
      <c r="F48" s="101"/>
      <c r="G48" s="41" t="s">
        <v>1</v>
      </c>
    </row>
    <row r="49" spans="2:8" s="37" customFormat="1">
      <c r="B49" s="38"/>
      <c r="D49" s="38"/>
      <c r="E49" s="43"/>
      <c r="F49" s="103"/>
      <c r="G49" s="103"/>
    </row>
    <row r="50" spans="2:8" s="37" customFormat="1">
      <c r="B50" s="44"/>
      <c r="D50" s="38"/>
      <c r="E50" s="43"/>
      <c r="F50" s="103"/>
      <c r="G50" s="103"/>
    </row>
    <row r="51" spans="2:8" ht="15" customHeight="1">
      <c r="D51" s="139"/>
    </row>
    <row r="52" spans="2:8">
      <c r="D52" s="139"/>
    </row>
    <row r="53" spans="2:8">
      <c r="D53" s="139"/>
    </row>
    <row r="54" spans="2:8">
      <c r="D54" s="139"/>
    </row>
    <row r="55" spans="2:8">
      <c r="D55" s="139"/>
    </row>
    <row r="56" spans="2:8">
      <c r="D56" s="139"/>
    </row>
    <row r="57" spans="2:8">
      <c r="D57" s="139"/>
    </row>
    <row r="58" spans="2:8">
      <c r="D58" s="139"/>
    </row>
    <row r="59" spans="2:8">
      <c r="D59" s="139"/>
    </row>
    <row r="60" spans="2:8">
      <c r="D60" s="139"/>
    </row>
    <row r="61" spans="2:8">
      <c r="D61" s="139"/>
    </row>
    <row r="62" spans="2:8" s="3" customFormat="1" ht="15" customHeight="1">
      <c r="D62" s="139"/>
      <c r="E62" s="21"/>
      <c r="F62" s="22"/>
      <c r="G62" s="22"/>
      <c r="H62" s="2"/>
    </row>
    <row r="63" spans="2:8">
      <c r="D63" s="139"/>
    </row>
    <row r="64" spans="2:8">
      <c r="D64" s="139"/>
    </row>
    <row r="65" spans="4:4">
      <c r="D65" s="139"/>
    </row>
    <row r="66" spans="4:4">
      <c r="D66" s="139"/>
    </row>
    <row r="67" spans="4:4">
      <c r="D67" s="139"/>
    </row>
    <row r="68" spans="4:4">
      <c r="D68" s="139"/>
    </row>
    <row r="69" spans="4:4">
      <c r="D69" s="139"/>
    </row>
  </sheetData>
  <mergeCells count="6">
    <mergeCell ref="C6:G6"/>
    <mergeCell ref="E8:E9"/>
    <mergeCell ref="F8:F9"/>
    <mergeCell ref="G8:G9"/>
    <mergeCell ref="B8:C9"/>
    <mergeCell ref="D8:D9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0" fitToWidth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9"/>
  <sheetViews>
    <sheetView showGridLines="0" topLeftCell="A6" zoomScaleNormal="100" zoomScaleSheetLayoutView="100" workbookViewId="0">
      <selection activeCell="P43" sqref="P43"/>
    </sheetView>
  </sheetViews>
  <sheetFormatPr defaultColWidth="9.140625" defaultRowHeight="15"/>
  <cols>
    <col min="1" max="1" width="1.7109375" style="2" customWidth="1"/>
    <col min="2" max="2" width="11" style="3" customWidth="1"/>
    <col min="3" max="3" width="12.28515625" style="3" customWidth="1"/>
    <col min="4" max="4" width="10.85546875" style="3" customWidth="1"/>
    <col min="5" max="5" width="15.7109375" style="21" customWidth="1"/>
    <col min="6" max="7" width="23.7109375" style="22" customWidth="1"/>
    <col min="8" max="8" width="0.85546875" style="2" customWidth="1"/>
    <col min="9" max="16384" width="9.140625" style="2"/>
  </cols>
  <sheetData>
    <row r="1" spans="1:8" s="30" customFormat="1" ht="12" customHeight="1">
      <c r="B1" s="27"/>
      <c r="C1" s="27"/>
      <c r="D1" s="27"/>
      <c r="E1" s="28"/>
      <c r="F1" s="29"/>
      <c r="G1" s="179" t="s">
        <v>188</v>
      </c>
    </row>
    <row r="2" spans="1:8" s="30" customFormat="1" ht="12" customHeight="1">
      <c r="B2" s="27"/>
      <c r="C2" s="27"/>
      <c r="D2" s="27"/>
      <c r="E2" s="28"/>
      <c r="F2" s="29"/>
      <c r="G2" s="180" t="s">
        <v>189</v>
      </c>
    </row>
    <row r="3" spans="1:8" s="30" customFormat="1" ht="12" customHeight="1">
      <c r="B3" s="27"/>
      <c r="C3" s="27"/>
      <c r="D3" s="27"/>
      <c r="E3" s="28"/>
      <c r="F3" s="29"/>
      <c r="G3" s="75"/>
    </row>
    <row r="4" spans="1:8" s="30" customFormat="1" ht="12" customHeight="1">
      <c r="B4" s="27"/>
      <c r="C4" s="27"/>
      <c r="D4" s="27"/>
      <c r="E4" s="28"/>
      <c r="F4" s="29"/>
      <c r="G4" s="75"/>
    </row>
    <row r="5" spans="1:8" s="55" customFormat="1" ht="15" customHeight="1">
      <c r="B5" s="88" t="s">
        <v>92</v>
      </c>
      <c r="C5" s="71" t="s">
        <v>179</v>
      </c>
      <c r="D5" s="71"/>
      <c r="E5" s="70"/>
      <c r="F5" s="71"/>
      <c r="G5" s="71"/>
      <c r="H5" s="71"/>
    </row>
    <row r="6" spans="1:8" s="72" customFormat="1" ht="15" customHeight="1">
      <c r="B6" s="89" t="s">
        <v>93</v>
      </c>
      <c r="C6" s="189" t="s">
        <v>180</v>
      </c>
      <c r="D6" s="189"/>
      <c r="E6" s="189"/>
      <c r="F6" s="189"/>
      <c r="G6" s="189"/>
      <c r="H6" s="74"/>
    </row>
    <row r="7" spans="1:8" ht="9.9499999999999993" customHeight="1" thickBot="1"/>
    <row r="8" spans="1:8" s="55" customFormat="1" ht="20.100000000000001" customHeight="1" thickTop="1">
      <c r="A8" s="53"/>
      <c r="B8" s="196" t="s">
        <v>98</v>
      </c>
      <c r="C8" s="196"/>
      <c r="D8" s="190" t="s">
        <v>100</v>
      </c>
      <c r="E8" s="190" t="s">
        <v>95</v>
      </c>
      <c r="F8" s="192" t="s">
        <v>96</v>
      </c>
      <c r="G8" s="192" t="s">
        <v>97</v>
      </c>
      <c r="H8" s="54"/>
    </row>
    <row r="9" spans="1:8" s="55" customFormat="1" ht="33" customHeight="1">
      <c r="A9" s="56"/>
      <c r="B9" s="197"/>
      <c r="C9" s="197"/>
      <c r="D9" s="191"/>
      <c r="E9" s="191"/>
      <c r="F9" s="193"/>
      <c r="G9" s="193"/>
      <c r="H9" s="57"/>
    </row>
    <row r="10" spans="1:8" s="55" customFormat="1" ht="8.1" customHeight="1">
      <c r="A10" s="95"/>
      <c r="B10" s="96"/>
      <c r="C10" s="96"/>
      <c r="D10" s="97"/>
      <c r="E10" s="97"/>
      <c r="F10" s="98"/>
      <c r="G10" s="98"/>
      <c r="H10" s="99"/>
    </row>
    <row r="11" spans="1:8" s="6" customFormat="1" ht="20.100000000000001" customHeight="1">
      <c r="A11" s="24"/>
      <c r="B11" s="135" t="s">
        <v>186</v>
      </c>
      <c r="C11" s="13"/>
      <c r="D11" s="13"/>
      <c r="E11" s="9"/>
      <c r="F11" s="9"/>
      <c r="G11" s="9"/>
      <c r="H11" s="24"/>
    </row>
    <row r="12" spans="1:8" s="6" customFormat="1" ht="8.1" customHeight="1">
      <c r="A12" s="24"/>
      <c r="B12" s="116"/>
      <c r="C12" s="13"/>
      <c r="D12" s="13"/>
      <c r="E12" s="9"/>
      <c r="F12" s="9"/>
      <c r="G12" s="9"/>
      <c r="H12" s="24"/>
    </row>
    <row r="13" spans="1:8" s="6" customFormat="1" ht="15" customHeight="1">
      <c r="A13" s="115"/>
      <c r="B13" s="117" t="s">
        <v>138</v>
      </c>
      <c r="C13" s="117"/>
      <c r="D13" s="170">
        <v>2015</v>
      </c>
      <c r="E13" s="175">
        <v>321</v>
      </c>
      <c r="F13" s="175">
        <v>46</v>
      </c>
      <c r="G13" s="175">
        <v>275</v>
      </c>
      <c r="H13" s="24"/>
    </row>
    <row r="14" spans="1:8" s="6" customFormat="1" ht="15" customHeight="1">
      <c r="A14" s="115"/>
      <c r="B14" s="119"/>
      <c r="C14" s="117"/>
      <c r="D14" s="170">
        <v>2016</v>
      </c>
      <c r="E14" s="175">
        <v>303</v>
      </c>
      <c r="F14" s="175">
        <v>45</v>
      </c>
      <c r="G14" s="175">
        <v>258</v>
      </c>
      <c r="H14" s="24"/>
    </row>
    <row r="15" spans="1:8" s="6" customFormat="1" ht="15" customHeight="1">
      <c r="A15" s="115"/>
      <c r="B15" s="119"/>
      <c r="C15" s="117"/>
      <c r="D15" s="170">
        <v>2017</v>
      </c>
      <c r="E15" s="175">
        <v>330</v>
      </c>
      <c r="F15" s="175">
        <v>45</v>
      </c>
      <c r="G15" s="175">
        <v>285</v>
      </c>
      <c r="H15" s="24"/>
    </row>
    <row r="16" spans="1:8" s="6" customFormat="1" ht="9.9499999999999993" customHeight="1">
      <c r="A16" s="115"/>
      <c r="B16" s="119"/>
      <c r="C16" s="117"/>
      <c r="D16" s="170"/>
      <c r="E16" s="175"/>
      <c r="F16" s="175"/>
      <c r="G16" s="175"/>
      <c r="H16" s="24"/>
    </row>
    <row r="17" spans="1:8" s="6" customFormat="1" ht="15" customHeight="1">
      <c r="A17" s="115"/>
      <c r="B17" s="117" t="s">
        <v>139</v>
      </c>
      <c r="C17" s="117"/>
      <c r="D17" s="170">
        <v>2015</v>
      </c>
      <c r="E17" s="175">
        <v>1811</v>
      </c>
      <c r="F17" s="175">
        <v>203</v>
      </c>
      <c r="G17" s="175">
        <v>1608</v>
      </c>
      <c r="H17" s="24"/>
    </row>
    <row r="18" spans="1:8" s="6" customFormat="1" ht="15" customHeight="1">
      <c r="A18" s="115"/>
      <c r="B18" s="119"/>
      <c r="C18" s="117"/>
      <c r="D18" s="170">
        <v>2016</v>
      </c>
      <c r="E18" s="175">
        <v>1595</v>
      </c>
      <c r="F18" s="175">
        <v>203</v>
      </c>
      <c r="G18" s="175">
        <v>1392</v>
      </c>
      <c r="H18" s="24"/>
    </row>
    <row r="19" spans="1:8" s="6" customFormat="1" ht="15" customHeight="1">
      <c r="A19" s="115"/>
      <c r="B19" s="119"/>
      <c r="C19" s="117"/>
      <c r="D19" s="170">
        <v>2017</v>
      </c>
      <c r="E19" s="175">
        <v>1554</v>
      </c>
      <c r="F19" s="175">
        <v>180</v>
      </c>
      <c r="G19" s="175">
        <v>1374</v>
      </c>
      <c r="H19" s="24"/>
    </row>
    <row r="20" spans="1:8" s="6" customFormat="1" ht="9.9499999999999993" customHeight="1">
      <c r="A20" s="115"/>
      <c r="B20" s="119"/>
      <c r="C20" s="117"/>
      <c r="D20" s="170"/>
      <c r="E20" s="175"/>
      <c r="F20" s="175"/>
      <c r="G20" s="175"/>
      <c r="H20" s="24"/>
    </row>
    <row r="21" spans="1:8" s="6" customFormat="1" ht="15" customHeight="1">
      <c r="A21" s="115"/>
      <c r="B21" s="117" t="s">
        <v>140</v>
      </c>
      <c r="C21" s="117"/>
      <c r="D21" s="170">
        <v>2015</v>
      </c>
      <c r="E21" s="175">
        <v>50</v>
      </c>
      <c r="F21" s="175">
        <v>8</v>
      </c>
      <c r="G21" s="175">
        <v>42</v>
      </c>
      <c r="H21" s="24"/>
    </row>
    <row r="22" spans="1:8" s="6" customFormat="1" ht="15" customHeight="1">
      <c r="A22" s="115"/>
      <c r="B22" s="119"/>
      <c r="C22" s="117"/>
      <c r="D22" s="170">
        <v>2016</v>
      </c>
      <c r="E22" s="175">
        <v>54</v>
      </c>
      <c r="F22" s="175">
        <v>8</v>
      </c>
      <c r="G22" s="175">
        <v>46</v>
      </c>
      <c r="H22" s="24"/>
    </row>
    <row r="23" spans="1:8" s="6" customFormat="1" ht="15" customHeight="1">
      <c r="A23" s="115"/>
      <c r="B23" s="119"/>
      <c r="C23" s="117"/>
      <c r="D23" s="170">
        <v>2017</v>
      </c>
      <c r="E23" s="175">
        <v>41</v>
      </c>
      <c r="F23" s="175">
        <v>4</v>
      </c>
      <c r="G23" s="175">
        <v>37</v>
      </c>
      <c r="H23" s="24"/>
    </row>
    <row r="24" spans="1:8" s="6" customFormat="1" ht="9.9499999999999993" customHeight="1">
      <c r="A24" s="115"/>
      <c r="B24" s="119"/>
      <c r="C24" s="117"/>
      <c r="D24" s="170"/>
      <c r="E24" s="175"/>
      <c r="F24" s="175"/>
      <c r="G24" s="175"/>
      <c r="H24" s="24"/>
    </row>
    <row r="25" spans="1:8" s="6" customFormat="1" ht="15" customHeight="1">
      <c r="A25" s="115"/>
      <c r="B25" s="117" t="s">
        <v>141</v>
      </c>
      <c r="C25" s="117"/>
      <c r="D25" s="170">
        <v>2015</v>
      </c>
      <c r="E25" s="175">
        <v>77</v>
      </c>
      <c r="F25" s="175">
        <v>15</v>
      </c>
      <c r="G25" s="175">
        <v>62</v>
      </c>
      <c r="H25" s="24"/>
    </row>
    <row r="26" spans="1:8" s="6" customFormat="1" ht="15" customHeight="1">
      <c r="A26" s="115"/>
      <c r="B26" s="119"/>
      <c r="C26" s="117"/>
      <c r="D26" s="170">
        <v>2016</v>
      </c>
      <c r="E26" s="175">
        <v>72</v>
      </c>
      <c r="F26" s="175">
        <v>18</v>
      </c>
      <c r="G26" s="175">
        <v>54</v>
      </c>
      <c r="H26" s="24"/>
    </row>
    <row r="27" spans="1:8" s="6" customFormat="1" ht="15" customHeight="1">
      <c r="A27" s="115"/>
      <c r="B27" s="119"/>
      <c r="C27" s="117"/>
      <c r="D27" s="170">
        <v>2017</v>
      </c>
      <c r="E27" s="175">
        <f>SUM(F27:G27)</f>
        <v>73</v>
      </c>
      <c r="F27" s="175">
        <v>15</v>
      </c>
      <c r="G27" s="175">
        <v>58</v>
      </c>
      <c r="H27" s="24"/>
    </row>
    <row r="28" spans="1:8" s="6" customFormat="1" ht="9.9499999999999993" customHeight="1">
      <c r="A28" s="115"/>
      <c r="B28" s="119"/>
      <c r="C28" s="117"/>
      <c r="D28" s="170"/>
      <c r="E28" s="175"/>
      <c r="F28" s="175"/>
      <c r="G28" s="175"/>
      <c r="H28" s="24"/>
    </row>
    <row r="29" spans="1:8" s="6" customFormat="1" ht="15" customHeight="1">
      <c r="A29" s="115"/>
      <c r="B29" s="117" t="s">
        <v>142</v>
      </c>
      <c r="C29" s="117"/>
      <c r="D29" s="170">
        <v>2015</v>
      </c>
      <c r="E29" s="175">
        <v>31</v>
      </c>
      <c r="F29" s="175">
        <v>5</v>
      </c>
      <c r="G29" s="175">
        <v>26</v>
      </c>
      <c r="H29" s="24"/>
    </row>
    <row r="30" spans="1:8" s="6" customFormat="1" ht="15" customHeight="1">
      <c r="A30" s="115"/>
      <c r="B30" s="119"/>
      <c r="C30" s="117"/>
      <c r="D30" s="170">
        <v>2016</v>
      </c>
      <c r="E30" s="175">
        <v>15</v>
      </c>
      <c r="F30" s="175">
        <v>6</v>
      </c>
      <c r="G30" s="175">
        <v>9</v>
      </c>
      <c r="H30" s="24"/>
    </row>
    <row r="31" spans="1:8" s="6" customFormat="1" ht="15" customHeight="1">
      <c r="A31" s="115"/>
      <c r="B31" s="119"/>
      <c r="C31" s="117"/>
      <c r="D31" s="170">
        <v>2017</v>
      </c>
      <c r="E31" s="175">
        <v>32</v>
      </c>
      <c r="F31" s="175">
        <v>2</v>
      </c>
      <c r="G31" s="175">
        <v>30</v>
      </c>
      <c r="H31" s="24"/>
    </row>
    <row r="32" spans="1:8" s="6" customFormat="1" ht="9.9499999999999993" customHeight="1">
      <c r="A32" s="115"/>
      <c r="B32" s="119"/>
      <c r="C32" s="117"/>
      <c r="D32" s="170"/>
      <c r="E32" s="175"/>
      <c r="F32" s="175"/>
      <c r="G32" s="175"/>
      <c r="H32" s="24"/>
    </row>
    <row r="33" spans="1:8" s="6" customFormat="1" ht="15" customHeight="1">
      <c r="A33" s="115"/>
      <c r="B33" s="117" t="s">
        <v>143</v>
      </c>
      <c r="C33" s="117"/>
      <c r="D33" s="170">
        <v>2015</v>
      </c>
      <c r="E33" s="175">
        <v>55</v>
      </c>
      <c r="F33" s="175">
        <v>11</v>
      </c>
      <c r="G33" s="175">
        <v>44</v>
      </c>
      <c r="H33" s="24"/>
    </row>
    <row r="34" spans="1:8" s="6" customFormat="1" ht="15" customHeight="1">
      <c r="A34" s="115"/>
      <c r="B34" s="119"/>
      <c r="C34" s="117"/>
      <c r="D34" s="170">
        <v>2016</v>
      </c>
      <c r="E34" s="175">
        <v>93</v>
      </c>
      <c r="F34" s="175">
        <v>15</v>
      </c>
      <c r="G34" s="175">
        <v>78</v>
      </c>
      <c r="H34" s="24"/>
    </row>
    <row r="35" spans="1:8" s="6" customFormat="1" ht="15" customHeight="1">
      <c r="A35" s="115"/>
      <c r="B35" s="119"/>
      <c r="C35" s="117"/>
      <c r="D35" s="170">
        <v>2017</v>
      </c>
      <c r="E35" s="175">
        <v>64</v>
      </c>
      <c r="F35" s="175">
        <v>7</v>
      </c>
      <c r="G35" s="175">
        <v>57</v>
      </c>
      <c r="H35" s="24"/>
    </row>
    <row r="36" spans="1:8" s="6" customFormat="1" ht="9.9499999999999993" customHeight="1">
      <c r="A36" s="115"/>
      <c r="B36" s="119"/>
      <c r="C36" s="117"/>
      <c r="D36" s="170"/>
      <c r="E36" s="175"/>
      <c r="F36" s="175"/>
      <c r="G36" s="175"/>
      <c r="H36" s="24"/>
    </row>
    <row r="37" spans="1:8" s="6" customFormat="1" ht="15" customHeight="1">
      <c r="A37" s="115"/>
      <c r="B37" s="117" t="s">
        <v>144</v>
      </c>
      <c r="C37" s="117"/>
      <c r="D37" s="170">
        <v>2015</v>
      </c>
      <c r="E37" s="175">
        <v>97</v>
      </c>
      <c r="F37" s="175">
        <v>16</v>
      </c>
      <c r="G37" s="175">
        <v>81</v>
      </c>
      <c r="H37" s="24"/>
    </row>
    <row r="38" spans="1:8" s="6" customFormat="1" ht="15" customHeight="1">
      <c r="A38" s="115"/>
      <c r="B38" s="119"/>
      <c r="C38" s="117"/>
      <c r="D38" s="170">
        <v>2016</v>
      </c>
      <c r="E38" s="175">
        <v>76</v>
      </c>
      <c r="F38" s="175">
        <v>26</v>
      </c>
      <c r="G38" s="175">
        <v>50</v>
      </c>
      <c r="H38" s="24"/>
    </row>
    <row r="39" spans="1:8" s="6" customFormat="1" ht="15" customHeight="1">
      <c r="A39" s="115"/>
      <c r="B39" s="119"/>
      <c r="C39" s="117"/>
      <c r="D39" s="170">
        <v>2017</v>
      </c>
      <c r="E39" s="175">
        <v>60</v>
      </c>
      <c r="F39" s="175">
        <v>21</v>
      </c>
      <c r="G39" s="175">
        <v>39</v>
      </c>
      <c r="H39" s="24"/>
    </row>
    <row r="40" spans="1:8" s="6" customFormat="1" ht="9.9499999999999993" customHeight="1">
      <c r="A40" s="115"/>
      <c r="B40" s="119"/>
      <c r="C40" s="117"/>
      <c r="D40" s="170"/>
      <c r="E40" s="175"/>
      <c r="F40" s="175"/>
      <c r="G40" s="175"/>
      <c r="H40" s="24"/>
    </row>
    <row r="41" spans="1:8" s="6" customFormat="1" ht="15" customHeight="1">
      <c r="A41" s="115"/>
      <c r="B41" s="117" t="s">
        <v>145</v>
      </c>
      <c r="C41" s="117"/>
      <c r="D41" s="170">
        <v>2015</v>
      </c>
      <c r="E41" s="175">
        <v>26</v>
      </c>
      <c r="F41" s="175">
        <v>8</v>
      </c>
      <c r="G41" s="175">
        <v>18</v>
      </c>
      <c r="H41" s="24"/>
    </row>
    <row r="42" spans="1:8" s="6" customFormat="1" ht="15" customHeight="1">
      <c r="A42" s="115"/>
      <c r="B42" s="119"/>
      <c r="C42" s="117"/>
      <c r="D42" s="170">
        <v>2016</v>
      </c>
      <c r="E42" s="175">
        <v>27</v>
      </c>
      <c r="F42" s="175">
        <v>8</v>
      </c>
      <c r="G42" s="175">
        <v>19</v>
      </c>
      <c r="H42" s="24"/>
    </row>
    <row r="43" spans="1:8" s="6" customFormat="1" ht="15" customHeight="1">
      <c r="A43" s="115"/>
      <c r="B43" s="119"/>
      <c r="C43" s="117"/>
      <c r="D43" s="170">
        <v>2017</v>
      </c>
      <c r="E43" s="175">
        <v>25</v>
      </c>
      <c r="F43" s="175">
        <v>3</v>
      </c>
      <c r="G43" s="175">
        <v>22</v>
      </c>
      <c r="H43" s="24"/>
    </row>
    <row r="44" spans="1:8" s="6" customFormat="1" ht="9.9499999999999993" customHeight="1">
      <c r="A44" s="115"/>
      <c r="B44" s="119"/>
      <c r="C44" s="117"/>
      <c r="D44" s="170"/>
      <c r="E44" s="175"/>
      <c r="F44" s="175"/>
      <c r="G44" s="175"/>
      <c r="H44" s="24"/>
    </row>
    <row r="45" spans="1:8" s="6" customFormat="1" ht="15" customHeight="1">
      <c r="A45" s="115"/>
      <c r="B45" s="117" t="s">
        <v>146</v>
      </c>
      <c r="C45" s="117"/>
      <c r="D45" s="170">
        <v>2015</v>
      </c>
      <c r="E45" s="175">
        <v>41</v>
      </c>
      <c r="F45" s="175">
        <v>9</v>
      </c>
      <c r="G45" s="175">
        <v>32</v>
      </c>
      <c r="H45" s="24"/>
    </row>
    <row r="46" spans="1:8" s="6" customFormat="1" ht="15" customHeight="1">
      <c r="A46" s="115"/>
      <c r="B46" s="119"/>
      <c r="C46" s="117"/>
      <c r="D46" s="170">
        <v>2016</v>
      </c>
      <c r="E46" s="175">
        <v>35</v>
      </c>
      <c r="F46" s="175">
        <v>7</v>
      </c>
      <c r="G46" s="175">
        <v>28</v>
      </c>
      <c r="H46" s="24"/>
    </row>
    <row r="47" spans="1:8" s="6" customFormat="1" ht="15" customHeight="1">
      <c r="A47" s="115"/>
      <c r="B47" s="119"/>
      <c r="C47" s="117"/>
      <c r="D47" s="170">
        <v>2017</v>
      </c>
      <c r="E47" s="175">
        <v>37</v>
      </c>
      <c r="F47" s="175">
        <v>7</v>
      </c>
      <c r="G47" s="175">
        <v>30</v>
      </c>
      <c r="H47" s="24"/>
    </row>
    <row r="48" spans="1:8" s="6" customFormat="1" ht="9.9499999999999993" customHeight="1">
      <c r="A48" s="115"/>
      <c r="B48" s="119"/>
      <c r="C48" s="117"/>
      <c r="D48" s="170"/>
      <c r="E48" s="175"/>
      <c r="F48" s="175"/>
      <c r="G48" s="175"/>
      <c r="H48" s="24"/>
    </row>
    <row r="49" spans="1:8" s="6" customFormat="1" ht="15" customHeight="1">
      <c r="A49" s="115"/>
      <c r="B49" s="117" t="s">
        <v>147</v>
      </c>
      <c r="C49" s="117"/>
      <c r="D49" s="170">
        <v>2015</v>
      </c>
      <c r="E49" s="175">
        <v>1051</v>
      </c>
      <c r="F49" s="175">
        <v>156</v>
      </c>
      <c r="G49" s="175">
        <v>895</v>
      </c>
      <c r="H49" s="24"/>
    </row>
    <row r="50" spans="1:8" s="6" customFormat="1" ht="15" customHeight="1">
      <c r="A50" s="115"/>
      <c r="B50" s="119"/>
      <c r="C50" s="117"/>
      <c r="D50" s="170">
        <v>2016</v>
      </c>
      <c r="E50" s="175">
        <v>1159</v>
      </c>
      <c r="F50" s="175">
        <v>187</v>
      </c>
      <c r="G50" s="175">
        <v>972</v>
      </c>
      <c r="H50" s="24"/>
    </row>
    <row r="51" spans="1:8" s="6" customFormat="1" ht="15" customHeight="1">
      <c r="A51" s="115"/>
      <c r="B51" s="119"/>
      <c r="C51" s="117"/>
      <c r="D51" s="170">
        <v>2017</v>
      </c>
      <c r="E51" s="175">
        <v>978</v>
      </c>
      <c r="F51" s="175">
        <v>163</v>
      </c>
      <c r="G51" s="175">
        <v>815</v>
      </c>
      <c r="H51" s="24"/>
    </row>
    <row r="52" spans="1:8" s="6" customFormat="1" ht="8.1" customHeight="1" thickBot="1">
      <c r="A52" s="114"/>
      <c r="B52" s="114"/>
      <c r="C52" s="114"/>
      <c r="D52" s="114"/>
      <c r="E52" s="77"/>
      <c r="F52" s="65"/>
      <c r="G52" s="65"/>
      <c r="H52" s="109"/>
    </row>
    <row r="53" spans="1:8" s="102" customFormat="1" ht="15" customHeight="1">
      <c r="B53" s="110"/>
      <c r="C53" s="110"/>
      <c r="D53" s="110"/>
      <c r="E53" s="8"/>
      <c r="F53" s="101"/>
      <c r="G53" s="8" t="s">
        <v>104</v>
      </c>
    </row>
    <row r="54" spans="1:8" s="18" customFormat="1" ht="15" customHeight="1">
      <c r="B54" s="104"/>
      <c r="C54" s="104"/>
      <c r="D54" s="141"/>
      <c r="E54" s="8"/>
      <c r="F54" s="101"/>
      <c r="G54" s="41" t="s">
        <v>1</v>
      </c>
    </row>
    <row r="55" spans="1:8" ht="15" customHeight="1">
      <c r="D55" s="139"/>
    </row>
    <row r="56" spans="1:8">
      <c r="D56" s="139"/>
    </row>
    <row r="57" spans="1:8">
      <c r="D57" s="139"/>
    </row>
    <row r="58" spans="1:8">
      <c r="D58" s="139"/>
    </row>
    <row r="59" spans="1:8">
      <c r="D59" s="139"/>
    </row>
    <row r="60" spans="1:8">
      <c r="D60" s="139"/>
    </row>
    <row r="61" spans="1:8">
      <c r="D61" s="139"/>
    </row>
    <row r="62" spans="1:8">
      <c r="D62" s="139"/>
    </row>
    <row r="63" spans="1:8">
      <c r="D63" s="139"/>
    </row>
    <row r="64" spans="1:8">
      <c r="D64" s="139"/>
    </row>
    <row r="65" spans="4:8">
      <c r="D65" s="139"/>
    </row>
    <row r="66" spans="4:8" s="3" customFormat="1" ht="15" customHeight="1">
      <c r="D66" s="139"/>
      <c r="E66" s="21"/>
      <c r="F66" s="22"/>
      <c r="G66" s="22"/>
      <c r="H66" s="2"/>
    </row>
    <row r="67" spans="4:8">
      <c r="D67" s="139"/>
    </row>
    <row r="68" spans="4:8">
      <c r="D68" s="139"/>
    </row>
    <row r="69" spans="4:8">
      <c r="D69" s="139"/>
    </row>
  </sheetData>
  <mergeCells count="6">
    <mergeCell ref="C6:G6"/>
    <mergeCell ref="B8:C9"/>
    <mergeCell ref="D8:D9"/>
    <mergeCell ref="E8:E9"/>
    <mergeCell ref="F8:F9"/>
    <mergeCell ref="G8:G9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0" fitToWidth="0" orientation="portrait" r:id="rId1"/>
  <headerFooter>
    <oddHeader xml:space="preserve">&amp;R&amp;"-,Bold"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69"/>
  <sheetViews>
    <sheetView showGridLines="0" topLeftCell="A6" zoomScaleNormal="100" zoomScaleSheetLayoutView="100" workbookViewId="0">
      <selection activeCell="P43" sqref="P43"/>
    </sheetView>
  </sheetViews>
  <sheetFormatPr defaultColWidth="9.140625" defaultRowHeight="15"/>
  <cols>
    <col min="1" max="1" width="1.7109375" style="2" customWidth="1"/>
    <col min="2" max="2" width="11" style="3" customWidth="1"/>
    <col min="3" max="3" width="12.28515625" style="3" customWidth="1"/>
    <col min="4" max="4" width="10.85546875" style="3" customWidth="1"/>
    <col min="5" max="5" width="15.7109375" style="21" customWidth="1"/>
    <col min="6" max="7" width="23.7109375" style="22" customWidth="1"/>
    <col min="8" max="8" width="0.85546875" style="2" customWidth="1"/>
    <col min="9" max="16384" width="9.140625" style="2"/>
  </cols>
  <sheetData>
    <row r="1" spans="1:8" s="30" customFormat="1" ht="12" customHeight="1">
      <c r="B1" s="27"/>
      <c r="C1" s="27"/>
      <c r="D1" s="27"/>
      <c r="E1" s="28"/>
      <c r="F1" s="29"/>
      <c r="G1" s="179" t="s">
        <v>188</v>
      </c>
    </row>
    <row r="2" spans="1:8" s="30" customFormat="1" ht="12" customHeight="1">
      <c r="B2" s="27"/>
      <c r="C2" s="27"/>
      <c r="D2" s="27"/>
      <c r="E2" s="28"/>
      <c r="F2" s="29"/>
      <c r="G2" s="180" t="s">
        <v>189</v>
      </c>
    </row>
    <row r="3" spans="1:8" s="30" customFormat="1" ht="12" customHeight="1">
      <c r="B3" s="27"/>
      <c r="C3" s="27"/>
      <c r="D3" s="27"/>
      <c r="E3" s="28"/>
      <c r="F3" s="29"/>
      <c r="G3" s="75"/>
    </row>
    <row r="4" spans="1:8" s="30" customFormat="1" ht="12" customHeight="1">
      <c r="B4" s="27"/>
      <c r="C4" s="27"/>
      <c r="D4" s="27"/>
      <c r="E4" s="28"/>
      <c r="F4" s="29"/>
      <c r="G4" s="75"/>
    </row>
    <row r="5" spans="1:8" s="55" customFormat="1" ht="15" customHeight="1">
      <c r="B5" s="88" t="s">
        <v>92</v>
      </c>
      <c r="C5" s="71" t="s">
        <v>179</v>
      </c>
      <c r="D5" s="71"/>
      <c r="E5" s="70"/>
      <c r="F5" s="71"/>
      <c r="G5" s="71"/>
      <c r="H5" s="71"/>
    </row>
    <row r="6" spans="1:8" s="72" customFormat="1" ht="15" customHeight="1">
      <c r="B6" s="89" t="s">
        <v>93</v>
      </c>
      <c r="C6" s="189" t="s">
        <v>180</v>
      </c>
      <c r="D6" s="189"/>
      <c r="E6" s="189"/>
      <c r="F6" s="189"/>
      <c r="G6" s="189"/>
      <c r="H6" s="74"/>
    </row>
    <row r="7" spans="1:8" ht="9.9499999999999993" customHeight="1" thickBot="1"/>
    <row r="8" spans="1:8" s="55" customFormat="1" ht="20.100000000000001" customHeight="1" thickTop="1">
      <c r="A8" s="53"/>
      <c r="B8" s="196" t="s">
        <v>98</v>
      </c>
      <c r="C8" s="196"/>
      <c r="D8" s="190" t="s">
        <v>100</v>
      </c>
      <c r="E8" s="190" t="s">
        <v>95</v>
      </c>
      <c r="F8" s="192" t="s">
        <v>96</v>
      </c>
      <c r="G8" s="192" t="s">
        <v>97</v>
      </c>
      <c r="H8" s="54"/>
    </row>
    <row r="9" spans="1:8" s="55" customFormat="1" ht="33" customHeight="1">
      <c r="A9" s="56"/>
      <c r="B9" s="197"/>
      <c r="C9" s="197"/>
      <c r="D9" s="191"/>
      <c r="E9" s="191"/>
      <c r="F9" s="193"/>
      <c r="G9" s="193"/>
      <c r="H9" s="57"/>
    </row>
    <row r="10" spans="1:8" s="55" customFormat="1" ht="8.1" customHeight="1">
      <c r="A10" s="95"/>
      <c r="B10" s="96"/>
      <c r="C10" s="96"/>
      <c r="D10" s="97"/>
      <c r="E10" s="97"/>
      <c r="F10" s="98"/>
      <c r="G10" s="98"/>
      <c r="H10" s="99"/>
    </row>
    <row r="11" spans="1:8" s="6" customFormat="1" ht="20.100000000000001" customHeight="1">
      <c r="A11" s="24"/>
      <c r="B11" s="135" t="s">
        <v>186</v>
      </c>
      <c r="C11" s="13"/>
      <c r="D11" s="13"/>
      <c r="E11" s="9"/>
      <c r="F11" s="9"/>
      <c r="G11" s="9"/>
      <c r="H11" s="24"/>
    </row>
    <row r="12" spans="1:8" s="6" customFormat="1" ht="8.1" customHeight="1">
      <c r="A12" s="24"/>
      <c r="B12" s="116"/>
      <c r="C12" s="13"/>
      <c r="D12" s="13"/>
      <c r="E12" s="9"/>
      <c r="F12" s="9"/>
      <c r="G12" s="9"/>
      <c r="H12" s="24"/>
    </row>
    <row r="13" spans="1:8" s="6" customFormat="1" ht="15" customHeight="1">
      <c r="A13" s="115"/>
      <c r="B13" s="117" t="s">
        <v>148</v>
      </c>
      <c r="C13" s="117"/>
      <c r="D13" s="170">
        <v>2015</v>
      </c>
      <c r="E13" s="175">
        <v>77</v>
      </c>
      <c r="F13" s="175">
        <v>13</v>
      </c>
      <c r="G13" s="175">
        <v>64</v>
      </c>
      <c r="H13" s="24"/>
    </row>
    <row r="14" spans="1:8" s="6" customFormat="1" ht="15" customHeight="1">
      <c r="A14" s="115"/>
      <c r="B14" s="119"/>
      <c r="C14" s="117"/>
      <c r="D14" s="170">
        <v>2016</v>
      </c>
      <c r="E14" s="175">
        <v>81</v>
      </c>
      <c r="F14" s="175">
        <v>17</v>
      </c>
      <c r="G14" s="175">
        <v>64</v>
      </c>
      <c r="H14" s="24"/>
    </row>
    <row r="15" spans="1:8" s="6" customFormat="1" ht="15" customHeight="1">
      <c r="A15" s="115"/>
      <c r="B15" s="119"/>
      <c r="C15" s="117"/>
      <c r="D15" s="170">
        <v>2017</v>
      </c>
      <c r="E15" s="175">
        <f>SUM(F15:G15)</f>
        <v>84</v>
      </c>
      <c r="F15" s="175">
        <v>10</v>
      </c>
      <c r="G15" s="175">
        <v>74</v>
      </c>
      <c r="H15" s="24"/>
    </row>
    <row r="16" spans="1:8" s="6" customFormat="1" ht="8.1" customHeight="1">
      <c r="A16" s="115"/>
      <c r="B16" s="119"/>
      <c r="C16" s="117"/>
      <c r="D16" s="170"/>
      <c r="E16" s="175"/>
      <c r="F16" s="175"/>
      <c r="G16" s="175"/>
      <c r="H16" s="24"/>
    </row>
    <row r="17" spans="1:8" s="6" customFormat="1" ht="15" customHeight="1">
      <c r="A17" s="115"/>
      <c r="B17" s="117" t="s">
        <v>149</v>
      </c>
      <c r="C17" s="117"/>
      <c r="D17" s="170">
        <v>2015</v>
      </c>
      <c r="E17" s="175">
        <v>910</v>
      </c>
      <c r="F17" s="175">
        <v>76</v>
      </c>
      <c r="G17" s="175">
        <v>834</v>
      </c>
      <c r="H17" s="24"/>
    </row>
    <row r="18" spans="1:8" s="6" customFormat="1" ht="15" customHeight="1">
      <c r="A18" s="115"/>
      <c r="B18" s="119"/>
      <c r="C18" s="117"/>
      <c r="D18" s="170">
        <v>2016</v>
      </c>
      <c r="E18" s="175">
        <v>904</v>
      </c>
      <c r="F18" s="175">
        <v>103</v>
      </c>
      <c r="G18" s="175">
        <v>801</v>
      </c>
      <c r="H18" s="24"/>
    </row>
    <row r="19" spans="1:8" s="6" customFormat="1" ht="15" customHeight="1">
      <c r="A19" s="115"/>
      <c r="B19" s="119"/>
      <c r="C19" s="117"/>
      <c r="D19" s="170">
        <v>2017</v>
      </c>
      <c r="E19" s="175">
        <v>908</v>
      </c>
      <c r="F19" s="175">
        <v>78</v>
      </c>
      <c r="G19" s="175">
        <v>830</v>
      </c>
      <c r="H19" s="24"/>
    </row>
    <row r="20" spans="1:8" s="6" customFormat="1" ht="8.1" customHeight="1">
      <c r="A20" s="115"/>
      <c r="B20" s="119"/>
      <c r="C20" s="117"/>
      <c r="D20" s="170"/>
      <c r="E20" s="175"/>
      <c r="F20" s="175"/>
      <c r="G20" s="175"/>
      <c r="H20" s="24"/>
    </row>
    <row r="21" spans="1:8" s="6" customFormat="1" ht="15" customHeight="1">
      <c r="A21" s="115"/>
      <c r="B21" s="117" t="s">
        <v>150</v>
      </c>
      <c r="C21" s="117"/>
      <c r="D21" s="170">
        <v>2015</v>
      </c>
      <c r="E21" s="175">
        <v>19</v>
      </c>
      <c r="F21" s="175">
        <v>2</v>
      </c>
      <c r="G21" s="175">
        <v>17</v>
      </c>
      <c r="H21" s="24"/>
    </row>
    <row r="22" spans="1:8" s="6" customFormat="1" ht="15" customHeight="1">
      <c r="A22" s="115"/>
      <c r="B22" s="119"/>
      <c r="C22" s="117"/>
      <c r="D22" s="170">
        <v>2016</v>
      </c>
      <c r="E22" s="175">
        <v>32</v>
      </c>
      <c r="F22" s="175">
        <v>1</v>
      </c>
      <c r="G22" s="175">
        <v>31</v>
      </c>
      <c r="H22" s="24"/>
    </row>
    <row r="23" spans="1:8" s="6" customFormat="1" ht="15" customHeight="1">
      <c r="A23" s="115"/>
      <c r="B23" s="119"/>
      <c r="C23" s="117"/>
      <c r="D23" s="170">
        <v>2017</v>
      </c>
      <c r="E23" s="175">
        <v>34</v>
      </c>
      <c r="F23" s="175">
        <v>8</v>
      </c>
      <c r="G23" s="175">
        <v>26</v>
      </c>
      <c r="H23" s="24"/>
    </row>
    <row r="24" spans="1:8" s="6" customFormat="1" ht="8.1" customHeight="1">
      <c r="A24" s="115"/>
      <c r="B24" s="119"/>
      <c r="C24" s="117"/>
      <c r="D24" s="170"/>
      <c r="E24" s="175"/>
      <c r="F24" s="175"/>
      <c r="G24" s="175"/>
      <c r="H24" s="24"/>
    </row>
    <row r="25" spans="1:8" s="6" customFormat="1" ht="15" customHeight="1">
      <c r="A25" s="115"/>
      <c r="B25" s="117" t="s">
        <v>151</v>
      </c>
      <c r="C25" s="117"/>
      <c r="D25" s="170">
        <v>2015</v>
      </c>
      <c r="E25" s="175">
        <v>203</v>
      </c>
      <c r="F25" s="175">
        <v>28</v>
      </c>
      <c r="G25" s="175">
        <v>175</v>
      </c>
      <c r="H25" s="24"/>
    </row>
    <row r="26" spans="1:8" s="6" customFormat="1" ht="15" customHeight="1">
      <c r="A26" s="115"/>
      <c r="B26" s="119"/>
      <c r="C26" s="117"/>
      <c r="D26" s="170">
        <v>2016</v>
      </c>
      <c r="E26" s="175">
        <v>205</v>
      </c>
      <c r="F26" s="175">
        <v>25</v>
      </c>
      <c r="G26" s="175">
        <v>180</v>
      </c>
      <c r="H26" s="24"/>
    </row>
    <row r="27" spans="1:8" s="6" customFormat="1" ht="15" customHeight="1">
      <c r="A27" s="115"/>
      <c r="B27" s="119"/>
      <c r="C27" s="117"/>
      <c r="D27" s="170">
        <v>2017</v>
      </c>
      <c r="E27" s="175">
        <v>177</v>
      </c>
      <c r="F27" s="175">
        <v>28</v>
      </c>
      <c r="G27" s="175">
        <v>149</v>
      </c>
      <c r="H27" s="24"/>
    </row>
    <row r="28" spans="1:8" s="6" customFormat="1" ht="8.1" customHeight="1">
      <c r="A28" s="115"/>
      <c r="B28" s="119"/>
      <c r="C28" s="117"/>
      <c r="D28" s="170"/>
      <c r="E28" s="175"/>
      <c r="F28" s="175"/>
      <c r="G28" s="175"/>
      <c r="H28" s="24"/>
    </row>
    <row r="29" spans="1:8" s="6" customFormat="1" ht="15" customHeight="1">
      <c r="A29" s="115"/>
      <c r="B29" s="117" t="s">
        <v>152</v>
      </c>
      <c r="C29" s="117"/>
      <c r="D29" s="170">
        <v>2015</v>
      </c>
      <c r="E29" s="175">
        <v>197</v>
      </c>
      <c r="F29" s="175">
        <v>25</v>
      </c>
      <c r="G29" s="175">
        <v>172</v>
      </c>
      <c r="H29" s="24"/>
    </row>
    <row r="30" spans="1:8" s="6" customFormat="1" ht="15" customHeight="1">
      <c r="A30" s="115"/>
      <c r="B30" s="119"/>
      <c r="C30" s="117"/>
      <c r="D30" s="170">
        <v>2016</v>
      </c>
      <c r="E30" s="175">
        <v>130</v>
      </c>
      <c r="F30" s="175">
        <v>19</v>
      </c>
      <c r="G30" s="175">
        <v>111</v>
      </c>
      <c r="H30" s="24"/>
    </row>
    <row r="31" spans="1:8" s="6" customFormat="1" ht="15" customHeight="1">
      <c r="A31" s="115"/>
      <c r="B31" s="119"/>
      <c r="C31" s="117"/>
      <c r="D31" s="170">
        <v>2017</v>
      </c>
      <c r="E31" s="175">
        <v>145</v>
      </c>
      <c r="F31" s="175">
        <v>25</v>
      </c>
      <c r="G31" s="175">
        <v>120</v>
      </c>
      <c r="H31" s="24"/>
    </row>
    <row r="32" spans="1:8" s="6" customFormat="1" ht="8.1" customHeight="1">
      <c r="A32" s="115"/>
      <c r="B32" s="119"/>
      <c r="C32" s="117"/>
      <c r="D32" s="170"/>
      <c r="E32" s="175"/>
      <c r="F32" s="175"/>
      <c r="G32" s="175"/>
      <c r="H32" s="24"/>
    </row>
    <row r="33" spans="1:8" s="6" customFormat="1" ht="15" customHeight="1">
      <c r="A33" s="115"/>
      <c r="B33" s="117" t="s">
        <v>153</v>
      </c>
      <c r="C33" s="117"/>
      <c r="D33" s="170">
        <v>2015</v>
      </c>
      <c r="E33" s="175">
        <v>885</v>
      </c>
      <c r="F33" s="175">
        <v>87</v>
      </c>
      <c r="G33" s="175">
        <v>798</v>
      </c>
      <c r="H33" s="24"/>
    </row>
    <row r="34" spans="1:8" s="6" customFormat="1" ht="15" customHeight="1">
      <c r="A34" s="115"/>
      <c r="B34" s="119"/>
      <c r="C34" s="117"/>
      <c r="D34" s="170">
        <v>2016</v>
      </c>
      <c r="E34" s="175">
        <v>813</v>
      </c>
      <c r="F34" s="175">
        <v>107</v>
      </c>
      <c r="G34" s="175">
        <v>706</v>
      </c>
      <c r="H34" s="24"/>
    </row>
    <row r="35" spans="1:8" s="6" customFormat="1" ht="15" customHeight="1">
      <c r="A35" s="115"/>
      <c r="B35" s="119"/>
      <c r="C35" s="117"/>
      <c r="D35" s="170">
        <v>2017</v>
      </c>
      <c r="E35" s="175">
        <v>756</v>
      </c>
      <c r="F35" s="175">
        <v>122</v>
      </c>
      <c r="G35" s="175">
        <v>634</v>
      </c>
      <c r="H35" s="24"/>
    </row>
    <row r="36" spans="1:8" s="6" customFormat="1" ht="8.1" customHeight="1">
      <c r="A36" s="115"/>
      <c r="B36" s="119"/>
      <c r="C36" s="117"/>
      <c r="D36" s="170"/>
      <c r="E36" s="175"/>
      <c r="F36" s="175"/>
      <c r="G36" s="175"/>
      <c r="H36" s="24"/>
    </row>
    <row r="37" spans="1:8" s="6" customFormat="1" ht="15" customHeight="1">
      <c r="A37" s="115"/>
      <c r="B37" s="117" t="s">
        <v>154</v>
      </c>
      <c r="C37" s="117"/>
      <c r="D37" s="170">
        <v>2015</v>
      </c>
      <c r="E37" s="175">
        <v>48</v>
      </c>
      <c r="F37" s="175">
        <v>7</v>
      </c>
      <c r="G37" s="175">
        <v>41</v>
      </c>
      <c r="H37" s="24"/>
    </row>
    <row r="38" spans="1:8" s="6" customFormat="1" ht="15" customHeight="1">
      <c r="A38" s="115"/>
      <c r="B38" s="119"/>
      <c r="C38" s="117"/>
      <c r="D38" s="170">
        <v>2016</v>
      </c>
      <c r="E38" s="175">
        <v>53</v>
      </c>
      <c r="F38" s="175">
        <v>7</v>
      </c>
      <c r="G38" s="175">
        <v>46</v>
      </c>
      <c r="H38" s="24"/>
    </row>
    <row r="39" spans="1:8" s="6" customFormat="1" ht="15" customHeight="1">
      <c r="A39" s="115"/>
      <c r="B39" s="119"/>
      <c r="C39" s="117"/>
      <c r="D39" s="170">
        <v>2017</v>
      </c>
      <c r="E39" s="175">
        <v>34</v>
      </c>
      <c r="F39" s="175">
        <v>5</v>
      </c>
      <c r="G39" s="175">
        <v>29</v>
      </c>
      <c r="H39" s="24"/>
    </row>
    <row r="40" spans="1:8" s="6" customFormat="1" ht="8.1" customHeight="1">
      <c r="A40" s="115"/>
      <c r="B40" s="119"/>
      <c r="C40" s="117"/>
      <c r="D40" s="170"/>
      <c r="E40" s="175"/>
      <c r="F40" s="175"/>
      <c r="G40" s="175"/>
      <c r="H40" s="24"/>
    </row>
    <row r="41" spans="1:8" s="6" customFormat="1" ht="15" customHeight="1">
      <c r="A41" s="115"/>
      <c r="B41" s="117" t="s">
        <v>155</v>
      </c>
      <c r="C41" s="117"/>
      <c r="D41" s="170">
        <v>2015</v>
      </c>
      <c r="E41" s="175">
        <v>10</v>
      </c>
      <c r="F41" s="175">
        <v>2</v>
      </c>
      <c r="G41" s="175">
        <v>8</v>
      </c>
      <c r="H41" s="24"/>
    </row>
    <row r="42" spans="1:8" s="6" customFormat="1" ht="15" customHeight="1">
      <c r="A42" s="115"/>
      <c r="B42" s="119"/>
      <c r="C42" s="117"/>
      <c r="D42" s="170">
        <v>2016</v>
      </c>
      <c r="E42" s="175">
        <v>7</v>
      </c>
      <c r="F42" s="175">
        <v>3</v>
      </c>
      <c r="G42" s="175">
        <v>4</v>
      </c>
      <c r="H42" s="24"/>
    </row>
    <row r="43" spans="1:8" s="6" customFormat="1" ht="15" customHeight="1">
      <c r="A43" s="115"/>
      <c r="B43" s="119"/>
      <c r="C43" s="117"/>
      <c r="D43" s="170">
        <v>2017</v>
      </c>
      <c r="E43" s="175">
        <v>7</v>
      </c>
      <c r="F43" s="175">
        <v>3</v>
      </c>
      <c r="G43" s="175">
        <v>4</v>
      </c>
      <c r="H43" s="24"/>
    </row>
    <row r="44" spans="1:8" s="6" customFormat="1" ht="8.1" customHeight="1">
      <c r="A44" s="115"/>
      <c r="B44" s="119"/>
      <c r="C44" s="117"/>
      <c r="D44" s="170"/>
      <c r="E44" s="175"/>
      <c r="F44" s="175"/>
      <c r="G44" s="175"/>
      <c r="H44" s="24"/>
    </row>
    <row r="45" spans="1:8" s="6" customFormat="1" ht="15" customHeight="1">
      <c r="A45" s="115"/>
      <c r="B45" s="117" t="s">
        <v>156</v>
      </c>
      <c r="C45" s="117"/>
      <c r="D45" s="170">
        <v>2015</v>
      </c>
      <c r="E45" s="175">
        <v>113</v>
      </c>
      <c r="F45" s="175">
        <v>10</v>
      </c>
      <c r="G45" s="175">
        <v>103</v>
      </c>
      <c r="H45" s="24"/>
    </row>
    <row r="46" spans="1:8" s="6" customFormat="1" ht="15" customHeight="1">
      <c r="A46" s="115"/>
      <c r="B46" s="119"/>
      <c r="C46" s="117"/>
      <c r="D46" s="170">
        <v>2016</v>
      </c>
      <c r="E46" s="175">
        <v>118</v>
      </c>
      <c r="F46" s="175">
        <v>9</v>
      </c>
      <c r="G46" s="175">
        <v>109</v>
      </c>
      <c r="H46" s="24"/>
    </row>
    <row r="47" spans="1:8" s="6" customFormat="1" ht="15" customHeight="1">
      <c r="A47" s="115"/>
      <c r="B47" s="119"/>
      <c r="C47" s="117"/>
      <c r="D47" s="170">
        <v>2017</v>
      </c>
      <c r="E47" s="175">
        <v>116</v>
      </c>
      <c r="F47" s="175">
        <v>21</v>
      </c>
      <c r="G47" s="175">
        <v>95</v>
      </c>
      <c r="H47" s="24"/>
    </row>
    <row r="48" spans="1:8" s="6" customFormat="1" ht="8.1" customHeight="1">
      <c r="A48" s="115"/>
      <c r="B48" s="119"/>
      <c r="C48" s="117"/>
      <c r="D48" s="170"/>
      <c r="E48" s="175"/>
      <c r="F48" s="175"/>
      <c r="G48" s="175"/>
      <c r="H48" s="24"/>
    </row>
    <row r="49" spans="1:8" s="6" customFormat="1" ht="15" customHeight="1">
      <c r="A49" s="115"/>
      <c r="B49" s="117" t="s">
        <v>157</v>
      </c>
      <c r="C49" s="117"/>
      <c r="D49" s="170">
        <v>2015</v>
      </c>
      <c r="E49" s="175">
        <v>27</v>
      </c>
      <c r="F49" s="175">
        <v>4</v>
      </c>
      <c r="G49" s="175">
        <v>23</v>
      </c>
      <c r="H49" s="24"/>
    </row>
    <row r="50" spans="1:8" s="6" customFormat="1" ht="15" customHeight="1">
      <c r="A50" s="115"/>
      <c r="B50" s="120"/>
      <c r="C50" s="117"/>
      <c r="D50" s="170">
        <v>2016</v>
      </c>
      <c r="E50" s="175">
        <v>26</v>
      </c>
      <c r="F50" s="175">
        <v>5</v>
      </c>
      <c r="G50" s="175">
        <v>21</v>
      </c>
      <c r="H50" s="24"/>
    </row>
    <row r="51" spans="1:8" s="6" customFormat="1" ht="15" customHeight="1">
      <c r="A51" s="115"/>
      <c r="B51" s="115"/>
      <c r="C51" s="115"/>
      <c r="D51" s="170">
        <v>2017</v>
      </c>
      <c r="E51" s="175">
        <v>17</v>
      </c>
      <c r="F51" s="175">
        <v>5</v>
      </c>
      <c r="G51" s="175">
        <v>12</v>
      </c>
      <c r="H51" s="24"/>
    </row>
    <row r="52" spans="1:8" s="6" customFormat="1" ht="8.1" customHeight="1" thickBot="1">
      <c r="A52" s="114"/>
      <c r="B52" s="114"/>
      <c r="C52" s="114"/>
      <c r="D52" s="114"/>
      <c r="E52" s="77"/>
      <c r="F52" s="65"/>
      <c r="G52" s="65"/>
      <c r="H52" s="109"/>
    </row>
    <row r="53" spans="1:8" s="102" customFormat="1" ht="15" customHeight="1">
      <c r="B53" s="110"/>
      <c r="C53" s="110"/>
      <c r="D53" s="110"/>
      <c r="E53" s="8"/>
      <c r="F53" s="101"/>
      <c r="G53" s="8" t="s">
        <v>104</v>
      </c>
    </row>
    <row r="54" spans="1:8" s="18" customFormat="1" ht="15" customHeight="1">
      <c r="B54" s="104"/>
      <c r="C54" s="104"/>
      <c r="D54" s="141"/>
      <c r="E54" s="8"/>
      <c r="F54" s="101"/>
      <c r="G54" s="41" t="s">
        <v>1</v>
      </c>
    </row>
    <row r="55" spans="1:8" ht="15" customHeight="1">
      <c r="D55" s="139"/>
    </row>
    <row r="56" spans="1:8">
      <c r="D56" s="139"/>
    </row>
    <row r="57" spans="1:8">
      <c r="D57" s="139"/>
    </row>
    <row r="58" spans="1:8">
      <c r="D58" s="139"/>
    </row>
    <row r="59" spans="1:8">
      <c r="D59" s="139"/>
    </row>
    <row r="60" spans="1:8">
      <c r="D60" s="139"/>
    </row>
    <row r="61" spans="1:8">
      <c r="D61" s="139"/>
    </row>
    <row r="62" spans="1:8">
      <c r="D62" s="139"/>
    </row>
    <row r="63" spans="1:8">
      <c r="D63" s="139"/>
    </row>
    <row r="64" spans="1:8">
      <c r="D64" s="139"/>
    </row>
    <row r="65" spans="4:8">
      <c r="D65" s="139"/>
    </row>
    <row r="66" spans="4:8" s="3" customFormat="1" ht="15" customHeight="1">
      <c r="D66" s="139"/>
      <c r="E66" s="21"/>
      <c r="F66" s="22"/>
      <c r="G66" s="22"/>
      <c r="H66" s="2"/>
    </row>
    <row r="67" spans="4:8">
      <c r="D67" s="139"/>
    </row>
    <row r="68" spans="4:8">
      <c r="D68" s="139"/>
    </row>
    <row r="69" spans="4:8">
      <c r="D69" s="139"/>
    </row>
  </sheetData>
  <mergeCells count="6">
    <mergeCell ref="C6:G6"/>
    <mergeCell ref="B8:C9"/>
    <mergeCell ref="D8:D9"/>
    <mergeCell ref="E8:E9"/>
    <mergeCell ref="F8:F9"/>
    <mergeCell ref="G8:G9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0" fitToWidth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91"/>
  <sheetViews>
    <sheetView showGridLines="0" topLeftCell="A25" zoomScaleNormal="100" zoomScaleSheetLayoutView="100" workbookViewId="0">
      <selection activeCell="P43" sqref="P43"/>
    </sheetView>
  </sheetViews>
  <sheetFormatPr defaultColWidth="9.140625" defaultRowHeight="15"/>
  <cols>
    <col min="1" max="1" width="1.7109375" style="2" customWidth="1"/>
    <col min="2" max="2" width="9.7109375" style="3" customWidth="1"/>
    <col min="3" max="3" width="12.28515625" style="3" customWidth="1"/>
    <col min="4" max="4" width="10.85546875" style="3" customWidth="1"/>
    <col min="5" max="5" width="15.7109375" style="21" customWidth="1"/>
    <col min="6" max="7" width="23.7109375" style="22" customWidth="1"/>
    <col min="8" max="8" width="0.85546875" style="2" customWidth="1"/>
    <col min="9" max="16384" width="9.140625" style="2"/>
  </cols>
  <sheetData>
    <row r="1" spans="1:8" s="30" customFormat="1" ht="12" customHeight="1">
      <c r="B1" s="27"/>
      <c r="C1" s="27"/>
      <c r="D1" s="27"/>
      <c r="E1" s="28"/>
      <c r="F1" s="29"/>
      <c r="G1" s="179" t="s">
        <v>188</v>
      </c>
    </row>
    <row r="2" spans="1:8" s="30" customFormat="1" ht="12" customHeight="1">
      <c r="B2" s="27"/>
      <c r="C2" s="27"/>
      <c r="D2" s="27"/>
      <c r="E2" s="28"/>
      <c r="F2" s="29"/>
      <c r="G2" s="180" t="s">
        <v>189</v>
      </c>
    </row>
    <row r="3" spans="1:8" s="30" customFormat="1" ht="12" customHeight="1">
      <c r="B3" s="27"/>
      <c r="C3" s="27"/>
      <c r="D3" s="27"/>
      <c r="E3" s="28"/>
      <c r="F3" s="29"/>
      <c r="G3" s="75"/>
    </row>
    <row r="4" spans="1:8" s="30" customFormat="1" ht="12" customHeight="1">
      <c r="B4" s="27"/>
      <c r="C4" s="27"/>
      <c r="D4" s="27"/>
      <c r="E4" s="28"/>
      <c r="F4" s="29"/>
      <c r="G4" s="75"/>
    </row>
    <row r="5" spans="1:8" s="55" customFormat="1" ht="15" customHeight="1">
      <c r="B5" s="88" t="s">
        <v>92</v>
      </c>
      <c r="C5" s="71" t="s">
        <v>179</v>
      </c>
      <c r="D5" s="71"/>
      <c r="E5" s="70"/>
      <c r="F5" s="71"/>
      <c r="G5" s="71"/>
      <c r="H5" s="71"/>
    </row>
    <row r="6" spans="1:8" s="72" customFormat="1" ht="15" customHeight="1">
      <c r="B6" s="89" t="s">
        <v>93</v>
      </c>
      <c r="C6" s="189" t="s">
        <v>180</v>
      </c>
      <c r="D6" s="189"/>
      <c r="E6" s="189"/>
      <c r="F6" s="189"/>
      <c r="G6" s="189"/>
      <c r="H6" s="74"/>
    </row>
    <row r="7" spans="1:8" ht="9.9499999999999993" customHeight="1" thickBot="1"/>
    <row r="8" spans="1:8" s="55" customFormat="1" ht="20.100000000000001" customHeight="1" thickTop="1">
      <c r="A8" s="53"/>
      <c r="B8" s="196" t="s">
        <v>98</v>
      </c>
      <c r="C8" s="196"/>
      <c r="D8" s="190" t="s">
        <v>100</v>
      </c>
      <c r="E8" s="190" t="s">
        <v>95</v>
      </c>
      <c r="F8" s="192" t="s">
        <v>96</v>
      </c>
      <c r="G8" s="192" t="s">
        <v>97</v>
      </c>
      <c r="H8" s="54"/>
    </row>
    <row r="9" spans="1:8" s="55" customFormat="1" ht="33" customHeight="1" thickBot="1">
      <c r="A9" s="56"/>
      <c r="B9" s="197"/>
      <c r="C9" s="197"/>
      <c r="D9" s="191"/>
      <c r="E9" s="191"/>
      <c r="F9" s="193"/>
      <c r="G9" s="193"/>
      <c r="H9" s="57"/>
    </row>
    <row r="10" spans="1:8" ht="6.95" customHeight="1">
      <c r="A10" s="45"/>
      <c r="B10" s="46"/>
      <c r="C10" s="46"/>
      <c r="D10" s="46"/>
      <c r="E10" s="198"/>
      <c r="F10" s="198"/>
      <c r="G10" s="198"/>
      <c r="H10" s="45"/>
    </row>
    <row r="11" spans="1:8" s="111" customFormat="1" ht="12.95" customHeight="1">
      <c r="B11" s="118" t="s">
        <v>105</v>
      </c>
      <c r="C11" s="68"/>
      <c r="D11" s="69">
        <v>2015</v>
      </c>
      <c r="E11" s="174">
        <f>E15+E19+E23+E27+E31+E35+E39+E43+E47+E51+E55+E59+E63+E67+E71</f>
        <v>32547</v>
      </c>
      <c r="F11" s="174">
        <f t="shared" ref="F11:G11" si="0">F15+F19+F23+F27+F31+F35+F39+F43+F47+F51+F55+F59+F63+F67+F71</f>
        <v>6583</v>
      </c>
      <c r="G11" s="174">
        <f t="shared" si="0"/>
        <v>25964</v>
      </c>
    </row>
    <row r="12" spans="1:8" s="111" customFormat="1" ht="12" customHeight="1">
      <c r="B12" s="119"/>
      <c r="C12" s="68"/>
      <c r="D12" s="69">
        <v>2016</v>
      </c>
      <c r="E12" s="174">
        <f t="shared" ref="E12:G13" si="1">E16+E20+E24+E28+E32+E36+E40+E44+E48+E52+E56+E60+E64+E68+E72</f>
        <v>31222</v>
      </c>
      <c r="F12" s="174">
        <f t="shared" si="1"/>
        <v>6610</v>
      </c>
      <c r="G12" s="174">
        <f t="shared" si="1"/>
        <v>24612</v>
      </c>
    </row>
    <row r="13" spans="1:8" s="111" customFormat="1" ht="12" customHeight="1">
      <c r="B13" s="119"/>
      <c r="C13" s="68"/>
      <c r="D13" s="69">
        <v>2017</v>
      </c>
      <c r="E13" s="174">
        <f t="shared" si="1"/>
        <v>26069</v>
      </c>
      <c r="F13" s="174">
        <f t="shared" si="1"/>
        <v>6470</v>
      </c>
      <c r="G13" s="174">
        <f t="shared" si="1"/>
        <v>19599</v>
      </c>
    </row>
    <row r="14" spans="1:8" ht="6.95" customHeight="1">
      <c r="A14" s="7"/>
      <c r="B14" s="39"/>
      <c r="C14" s="13"/>
      <c r="D14" s="13"/>
      <c r="E14" s="9"/>
      <c r="F14" s="9"/>
      <c r="G14" s="9"/>
      <c r="H14" s="7"/>
    </row>
    <row r="15" spans="1:8" s="55" customFormat="1" ht="12" customHeight="1">
      <c r="B15" s="117" t="s">
        <v>106</v>
      </c>
      <c r="C15" s="68"/>
      <c r="D15" s="170">
        <v>2015</v>
      </c>
      <c r="E15" s="175">
        <v>3313</v>
      </c>
      <c r="F15" s="175">
        <v>549</v>
      </c>
      <c r="G15" s="175">
        <v>2764</v>
      </c>
    </row>
    <row r="16" spans="1:8" s="55" customFormat="1" ht="12" customHeight="1">
      <c r="B16" s="122"/>
      <c r="C16" s="68"/>
      <c r="D16" s="170">
        <v>2016</v>
      </c>
      <c r="E16" s="175">
        <v>3105</v>
      </c>
      <c r="F16" s="175">
        <v>556</v>
      </c>
      <c r="G16" s="175">
        <v>2549</v>
      </c>
    </row>
    <row r="17" spans="2:7" s="55" customFormat="1" ht="12" customHeight="1">
      <c r="B17" s="122"/>
      <c r="C17" s="62"/>
      <c r="D17" s="170">
        <v>2017</v>
      </c>
      <c r="E17" s="175">
        <f>SUM(F17:G17)</f>
        <v>2668</v>
      </c>
      <c r="F17" s="175">
        <v>708</v>
      </c>
      <c r="G17" s="175">
        <v>1960</v>
      </c>
    </row>
    <row r="18" spans="2:7" s="55" customFormat="1" ht="6.95" customHeight="1">
      <c r="B18" s="122"/>
      <c r="C18" s="62"/>
      <c r="D18" s="170"/>
      <c r="E18" s="175"/>
      <c r="F18" s="175"/>
      <c r="G18" s="175"/>
    </row>
    <row r="19" spans="2:7" s="55" customFormat="1" ht="12" customHeight="1">
      <c r="B19" s="117" t="s">
        <v>107</v>
      </c>
      <c r="C19" s="62"/>
      <c r="D19" s="170">
        <v>2015</v>
      </c>
      <c r="E19" s="175">
        <v>3857</v>
      </c>
      <c r="F19" s="175">
        <v>760</v>
      </c>
      <c r="G19" s="175">
        <v>3097</v>
      </c>
    </row>
    <row r="20" spans="2:7" s="55" customFormat="1" ht="12" customHeight="1">
      <c r="B20" s="122"/>
      <c r="C20" s="62"/>
      <c r="D20" s="170">
        <v>2016</v>
      </c>
      <c r="E20" s="175">
        <v>3714</v>
      </c>
      <c r="F20" s="175">
        <v>852</v>
      </c>
      <c r="G20" s="175">
        <v>2862</v>
      </c>
    </row>
    <row r="21" spans="2:7" s="55" customFormat="1" ht="12" customHeight="1">
      <c r="B21" s="122"/>
      <c r="C21" s="62"/>
      <c r="D21" s="170">
        <v>2017</v>
      </c>
      <c r="E21" s="175">
        <f>SUM(F21:G21)</f>
        <v>3084</v>
      </c>
      <c r="F21" s="175">
        <v>838</v>
      </c>
      <c r="G21" s="175">
        <v>2246</v>
      </c>
    </row>
    <row r="22" spans="2:7" s="55" customFormat="1" ht="6.95" customHeight="1">
      <c r="B22" s="122"/>
      <c r="C22" s="62"/>
      <c r="D22" s="170"/>
      <c r="E22" s="175"/>
      <c r="F22" s="175"/>
      <c r="G22" s="175"/>
    </row>
    <row r="23" spans="2:7" s="55" customFormat="1" ht="12" customHeight="1">
      <c r="B23" s="117" t="s">
        <v>108</v>
      </c>
      <c r="C23" s="62"/>
      <c r="D23" s="170">
        <v>2015</v>
      </c>
      <c r="E23" s="175">
        <v>535</v>
      </c>
      <c r="F23" s="175">
        <v>100</v>
      </c>
      <c r="G23" s="175">
        <v>435</v>
      </c>
    </row>
    <row r="24" spans="2:7" s="55" customFormat="1" ht="12" customHeight="1">
      <c r="B24" s="122"/>
      <c r="C24" s="62"/>
      <c r="D24" s="170">
        <v>2016</v>
      </c>
      <c r="E24" s="175">
        <v>493</v>
      </c>
      <c r="F24" s="175">
        <v>88</v>
      </c>
      <c r="G24" s="175">
        <v>405</v>
      </c>
    </row>
    <row r="25" spans="2:7" s="55" customFormat="1" ht="12" customHeight="1">
      <c r="B25" s="122"/>
      <c r="C25" s="62"/>
      <c r="D25" s="170">
        <v>2017</v>
      </c>
      <c r="E25" s="175">
        <f>SUM(F25:G25)</f>
        <v>482</v>
      </c>
      <c r="F25" s="175">
        <v>110</v>
      </c>
      <c r="G25" s="175">
        <v>372</v>
      </c>
    </row>
    <row r="26" spans="2:7" s="55" customFormat="1" ht="6.95" customHeight="1">
      <c r="B26" s="122"/>
      <c r="C26" s="62"/>
      <c r="D26" s="170"/>
      <c r="E26" s="175"/>
      <c r="F26" s="175"/>
      <c r="G26" s="175"/>
    </row>
    <row r="27" spans="2:7" s="55" customFormat="1" ht="12" customHeight="1">
      <c r="B27" s="117" t="s">
        <v>109</v>
      </c>
      <c r="C27" s="62"/>
      <c r="D27" s="170">
        <v>2015</v>
      </c>
      <c r="E27" s="175">
        <v>4117</v>
      </c>
      <c r="F27" s="175">
        <v>797</v>
      </c>
      <c r="G27" s="175">
        <v>3320</v>
      </c>
    </row>
    <row r="28" spans="2:7" s="55" customFormat="1" ht="12" customHeight="1">
      <c r="B28" s="122"/>
      <c r="C28" s="62"/>
      <c r="D28" s="170">
        <v>2016</v>
      </c>
      <c r="E28" s="175">
        <v>3932</v>
      </c>
      <c r="F28" s="175">
        <v>697</v>
      </c>
      <c r="G28" s="175">
        <v>3235</v>
      </c>
    </row>
    <row r="29" spans="2:7" s="55" customFormat="1" ht="12" customHeight="1">
      <c r="B29" s="122"/>
      <c r="C29" s="62"/>
      <c r="D29" s="170">
        <v>2017</v>
      </c>
      <c r="E29" s="175">
        <f>SUM(F29:G29)</f>
        <v>3612</v>
      </c>
      <c r="F29" s="175">
        <v>971</v>
      </c>
      <c r="G29" s="175">
        <v>2641</v>
      </c>
    </row>
    <row r="30" spans="2:7" s="55" customFormat="1" ht="6.95" customHeight="1">
      <c r="B30" s="122"/>
      <c r="C30" s="62"/>
      <c r="D30" s="170"/>
      <c r="E30" s="175"/>
      <c r="F30" s="175"/>
      <c r="G30" s="175"/>
    </row>
    <row r="31" spans="2:7" s="55" customFormat="1" ht="12" customHeight="1">
      <c r="B31" s="117" t="s">
        <v>110</v>
      </c>
      <c r="C31" s="62"/>
      <c r="D31" s="170">
        <v>2015</v>
      </c>
      <c r="E31" s="175">
        <v>2551</v>
      </c>
      <c r="F31" s="175">
        <v>651</v>
      </c>
      <c r="G31" s="175">
        <v>1900</v>
      </c>
    </row>
    <row r="32" spans="2:7" s="55" customFormat="1" ht="12" customHeight="1">
      <c r="B32" s="122"/>
      <c r="C32" s="62"/>
      <c r="D32" s="170">
        <v>2016</v>
      </c>
      <c r="E32" s="175">
        <v>2377</v>
      </c>
      <c r="F32" s="175">
        <v>673</v>
      </c>
      <c r="G32" s="175">
        <v>1704</v>
      </c>
    </row>
    <row r="33" spans="2:7" s="55" customFormat="1" ht="12" customHeight="1">
      <c r="B33" s="122"/>
      <c r="C33" s="62"/>
      <c r="D33" s="170">
        <v>2017</v>
      </c>
      <c r="E33" s="175">
        <f>SUM(F33:G33)</f>
        <v>2192</v>
      </c>
      <c r="F33" s="175">
        <v>582</v>
      </c>
      <c r="G33" s="175">
        <v>1610</v>
      </c>
    </row>
    <row r="34" spans="2:7" s="55" customFormat="1" ht="6.95" customHeight="1">
      <c r="B34" s="122"/>
      <c r="C34" s="62"/>
      <c r="D34" s="170"/>
      <c r="E34" s="175"/>
      <c r="F34" s="175"/>
      <c r="G34" s="175"/>
    </row>
    <row r="35" spans="2:7" s="55" customFormat="1" ht="12" customHeight="1">
      <c r="B35" s="117" t="s">
        <v>111</v>
      </c>
      <c r="C35" s="62"/>
      <c r="D35" s="170">
        <v>2015</v>
      </c>
      <c r="E35" s="175">
        <v>1711</v>
      </c>
      <c r="F35" s="175">
        <v>517</v>
      </c>
      <c r="G35" s="175">
        <v>1194</v>
      </c>
    </row>
    <row r="36" spans="2:7" s="55" customFormat="1" ht="12" customHeight="1">
      <c r="B36" s="122"/>
      <c r="C36" s="62"/>
      <c r="D36" s="170">
        <v>2016</v>
      </c>
      <c r="E36" s="175">
        <v>1644</v>
      </c>
      <c r="F36" s="175">
        <v>440</v>
      </c>
      <c r="G36" s="175">
        <v>1204</v>
      </c>
    </row>
    <row r="37" spans="2:7" s="55" customFormat="1" ht="12" customHeight="1">
      <c r="B37" s="122"/>
      <c r="C37" s="62"/>
      <c r="D37" s="170">
        <v>2017</v>
      </c>
      <c r="E37" s="175">
        <f>SUM(F37:G37)</f>
        <v>1383</v>
      </c>
      <c r="F37" s="175">
        <v>392</v>
      </c>
      <c r="G37" s="175">
        <v>991</v>
      </c>
    </row>
    <row r="38" spans="2:7" s="55" customFormat="1" ht="6.95" customHeight="1">
      <c r="B38" s="122"/>
      <c r="C38" s="62"/>
      <c r="D38" s="170"/>
      <c r="E38" s="175"/>
      <c r="F38" s="175"/>
      <c r="G38" s="175"/>
    </row>
    <row r="39" spans="2:7" s="55" customFormat="1" ht="12" customHeight="1">
      <c r="B39" s="117" t="s">
        <v>112</v>
      </c>
      <c r="C39" s="62"/>
      <c r="D39" s="170">
        <v>2015</v>
      </c>
      <c r="E39" s="175">
        <v>697</v>
      </c>
      <c r="F39" s="175">
        <v>142</v>
      </c>
      <c r="G39" s="175">
        <v>555</v>
      </c>
    </row>
    <row r="40" spans="2:7" s="55" customFormat="1" ht="12" customHeight="1">
      <c r="B40" s="122"/>
      <c r="C40" s="62"/>
      <c r="D40" s="170">
        <v>2016</v>
      </c>
      <c r="E40" s="175">
        <v>754</v>
      </c>
      <c r="F40" s="175">
        <v>160</v>
      </c>
      <c r="G40" s="175">
        <v>594</v>
      </c>
    </row>
    <row r="41" spans="2:7" s="55" customFormat="1" ht="12" customHeight="1">
      <c r="B41" s="122"/>
      <c r="C41" s="62"/>
      <c r="D41" s="170">
        <v>2017</v>
      </c>
      <c r="E41" s="175">
        <f>SUM(F41:G41)</f>
        <v>641</v>
      </c>
      <c r="F41" s="175">
        <v>151</v>
      </c>
      <c r="G41" s="175">
        <v>490</v>
      </c>
    </row>
    <row r="42" spans="2:7" s="55" customFormat="1" ht="6.95" customHeight="1">
      <c r="B42" s="122"/>
      <c r="C42" s="62"/>
      <c r="D42" s="170"/>
      <c r="E42" s="175"/>
      <c r="F42" s="175"/>
      <c r="G42" s="175"/>
    </row>
    <row r="43" spans="2:7" s="55" customFormat="1" ht="12" customHeight="1">
      <c r="B43" s="117" t="s">
        <v>113</v>
      </c>
      <c r="C43" s="62"/>
      <c r="D43" s="170">
        <v>2015</v>
      </c>
      <c r="E43" s="175">
        <v>607</v>
      </c>
      <c r="F43" s="175">
        <v>118</v>
      </c>
      <c r="G43" s="175">
        <v>489</v>
      </c>
    </row>
    <row r="44" spans="2:7" s="55" customFormat="1" ht="12" customHeight="1">
      <c r="B44" s="122"/>
      <c r="C44" s="62"/>
      <c r="D44" s="170">
        <v>2016</v>
      </c>
      <c r="E44" s="175">
        <v>546</v>
      </c>
      <c r="F44" s="175">
        <v>128</v>
      </c>
      <c r="G44" s="175">
        <v>418</v>
      </c>
    </row>
    <row r="45" spans="2:7" s="55" customFormat="1" ht="12" customHeight="1">
      <c r="B45" s="122"/>
      <c r="C45" s="62"/>
      <c r="D45" s="170">
        <v>2017</v>
      </c>
      <c r="E45" s="175">
        <f>SUM(F45:G45)</f>
        <v>418</v>
      </c>
      <c r="F45" s="175">
        <v>98</v>
      </c>
      <c r="G45" s="175">
        <v>320</v>
      </c>
    </row>
    <row r="46" spans="2:7" s="55" customFormat="1" ht="6.95" customHeight="1">
      <c r="B46" s="122"/>
      <c r="C46" s="62"/>
      <c r="D46" s="170"/>
      <c r="E46" s="175"/>
      <c r="F46" s="175"/>
      <c r="G46" s="175"/>
    </row>
    <row r="47" spans="2:7" s="55" customFormat="1" ht="12" customHeight="1">
      <c r="B47" s="117" t="s">
        <v>114</v>
      </c>
      <c r="C47" s="62"/>
      <c r="D47" s="170">
        <v>2015</v>
      </c>
      <c r="E47" s="175">
        <v>5334</v>
      </c>
      <c r="F47" s="175">
        <v>1191</v>
      </c>
      <c r="G47" s="175">
        <v>4143</v>
      </c>
    </row>
    <row r="48" spans="2:7" s="55" customFormat="1" ht="12" customHeight="1">
      <c r="B48" s="122"/>
      <c r="C48" s="62"/>
      <c r="D48" s="170">
        <v>2016</v>
      </c>
      <c r="E48" s="175">
        <v>5004</v>
      </c>
      <c r="F48" s="175">
        <v>1303</v>
      </c>
      <c r="G48" s="175">
        <v>3701</v>
      </c>
    </row>
    <row r="49" spans="2:7" s="55" customFormat="1" ht="12" customHeight="1">
      <c r="B49" s="122"/>
      <c r="C49" s="62"/>
      <c r="D49" s="170">
        <v>2017</v>
      </c>
      <c r="E49" s="175">
        <f>SUM(F49:G49)</f>
        <v>4215</v>
      </c>
      <c r="F49" s="175">
        <v>1139</v>
      </c>
      <c r="G49" s="175">
        <v>3076</v>
      </c>
    </row>
    <row r="50" spans="2:7" s="55" customFormat="1" ht="6.95" customHeight="1">
      <c r="B50" s="122"/>
      <c r="C50" s="62"/>
      <c r="D50" s="170"/>
      <c r="E50" s="175"/>
      <c r="F50" s="175"/>
      <c r="G50" s="175"/>
    </row>
    <row r="51" spans="2:7" s="55" customFormat="1" ht="12" customHeight="1">
      <c r="B51" s="117" t="s">
        <v>115</v>
      </c>
      <c r="C51" s="62"/>
      <c r="D51" s="170">
        <v>2015</v>
      </c>
      <c r="E51" s="175">
        <v>441</v>
      </c>
      <c r="F51" s="175">
        <v>54</v>
      </c>
      <c r="G51" s="175">
        <v>387</v>
      </c>
    </row>
    <row r="52" spans="2:7" s="55" customFormat="1" ht="12" customHeight="1">
      <c r="B52" s="122"/>
      <c r="C52" s="62"/>
      <c r="D52" s="170">
        <v>2016</v>
      </c>
      <c r="E52" s="175">
        <v>419</v>
      </c>
      <c r="F52" s="175">
        <v>67</v>
      </c>
      <c r="G52" s="175">
        <v>352</v>
      </c>
    </row>
    <row r="53" spans="2:7" s="55" customFormat="1" ht="12" customHeight="1">
      <c r="B53" s="122"/>
      <c r="C53" s="62"/>
      <c r="D53" s="170">
        <v>2017</v>
      </c>
      <c r="E53" s="175">
        <f>SUM(F53:G53)</f>
        <v>397</v>
      </c>
      <c r="F53" s="175">
        <v>65</v>
      </c>
      <c r="G53" s="175">
        <v>332</v>
      </c>
    </row>
    <row r="54" spans="2:7" s="55" customFormat="1" ht="6.95" customHeight="1">
      <c r="B54" s="122"/>
      <c r="C54" s="62"/>
      <c r="D54" s="170"/>
      <c r="E54" s="175"/>
      <c r="F54" s="175"/>
      <c r="G54" s="175"/>
    </row>
    <row r="55" spans="2:7" s="55" customFormat="1" ht="12" customHeight="1">
      <c r="B55" s="117" t="s">
        <v>116</v>
      </c>
      <c r="C55" s="62"/>
      <c r="D55" s="170">
        <v>2015</v>
      </c>
      <c r="E55" s="175">
        <v>1098</v>
      </c>
      <c r="F55" s="175">
        <v>260</v>
      </c>
      <c r="G55" s="175">
        <v>838</v>
      </c>
    </row>
    <row r="56" spans="2:7" s="55" customFormat="1" ht="12" customHeight="1">
      <c r="B56" s="122"/>
      <c r="C56" s="62"/>
      <c r="D56" s="170">
        <v>2016</v>
      </c>
      <c r="E56" s="175">
        <v>1172</v>
      </c>
      <c r="F56" s="175">
        <v>257</v>
      </c>
      <c r="G56" s="175">
        <v>915</v>
      </c>
    </row>
    <row r="57" spans="2:7" s="55" customFormat="1" ht="12" customHeight="1">
      <c r="B57" s="122"/>
      <c r="C57" s="62"/>
      <c r="D57" s="170">
        <v>2017</v>
      </c>
      <c r="E57" s="175">
        <f>SUM(F57:G57)</f>
        <v>782</v>
      </c>
      <c r="F57" s="175">
        <v>184</v>
      </c>
      <c r="G57" s="175">
        <v>598</v>
      </c>
    </row>
    <row r="58" spans="2:7" s="55" customFormat="1" ht="6.95" customHeight="1">
      <c r="B58" s="122"/>
      <c r="C58" s="62"/>
      <c r="D58" s="170"/>
      <c r="E58" s="175"/>
      <c r="F58" s="175"/>
      <c r="G58" s="175"/>
    </row>
    <row r="59" spans="2:7" s="55" customFormat="1" ht="12" customHeight="1">
      <c r="B59" s="117" t="s">
        <v>117</v>
      </c>
      <c r="C59" s="62"/>
      <c r="D59" s="170">
        <v>2015</v>
      </c>
      <c r="E59" s="175">
        <v>2355</v>
      </c>
      <c r="F59" s="175">
        <v>426</v>
      </c>
      <c r="G59" s="175">
        <v>1929</v>
      </c>
    </row>
    <row r="60" spans="2:7" s="55" customFormat="1" ht="12" customHeight="1">
      <c r="B60" s="122"/>
      <c r="C60" s="62"/>
      <c r="D60" s="170">
        <v>2016</v>
      </c>
      <c r="E60" s="175">
        <v>2591</v>
      </c>
      <c r="F60" s="175">
        <v>433</v>
      </c>
      <c r="G60" s="175">
        <v>2158</v>
      </c>
    </row>
    <row r="61" spans="2:7" s="55" customFormat="1" ht="12" customHeight="1">
      <c r="B61" s="122"/>
      <c r="C61" s="62"/>
      <c r="D61" s="170">
        <v>2017</v>
      </c>
      <c r="E61" s="175">
        <f>SUM(F61:G61)</f>
        <v>1820</v>
      </c>
      <c r="F61" s="175">
        <v>448</v>
      </c>
      <c r="G61" s="175">
        <v>1372</v>
      </c>
    </row>
    <row r="62" spans="2:7" s="55" customFormat="1" ht="6.95" customHeight="1">
      <c r="B62" s="122"/>
      <c r="C62" s="62"/>
      <c r="D62" s="170"/>
      <c r="E62" s="175"/>
      <c r="F62" s="175"/>
      <c r="G62" s="175"/>
    </row>
    <row r="63" spans="2:7" s="55" customFormat="1" ht="12" customHeight="1">
      <c r="B63" s="117" t="s">
        <v>118</v>
      </c>
      <c r="C63" s="62"/>
      <c r="D63" s="170">
        <v>2015</v>
      </c>
      <c r="E63" s="175">
        <v>1539</v>
      </c>
      <c r="F63" s="175">
        <v>274</v>
      </c>
      <c r="G63" s="172">
        <v>1265</v>
      </c>
    </row>
    <row r="64" spans="2:7" s="55" customFormat="1" ht="12" customHeight="1">
      <c r="B64" s="122"/>
      <c r="C64" s="62"/>
      <c r="D64" s="170">
        <v>2016</v>
      </c>
      <c r="E64" s="175">
        <v>1489</v>
      </c>
      <c r="F64" s="175">
        <v>305</v>
      </c>
      <c r="G64" s="175">
        <v>1184</v>
      </c>
    </row>
    <row r="65" spans="1:8" s="55" customFormat="1" ht="12" customHeight="1">
      <c r="B65" s="122"/>
      <c r="C65" s="62"/>
      <c r="D65" s="170">
        <v>2017</v>
      </c>
      <c r="E65" s="175">
        <f>SUM(F65:G65)</f>
        <v>1300</v>
      </c>
      <c r="F65" s="175">
        <v>287</v>
      </c>
      <c r="G65" s="172">
        <v>1013</v>
      </c>
    </row>
    <row r="66" spans="1:8" s="55" customFormat="1" ht="6.95" customHeight="1">
      <c r="B66" s="122"/>
      <c r="C66" s="62"/>
      <c r="D66" s="170"/>
      <c r="E66" s="175"/>
      <c r="F66" s="175"/>
      <c r="G66" s="123"/>
    </row>
    <row r="67" spans="1:8" s="55" customFormat="1" ht="12" customHeight="1">
      <c r="B67" s="117" t="s">
        <v>119</v>
      </c>
      <c r="C67" s="62"/>
      <c r="D67" s="170">
        <v>2015</v>
      </c>
      <c r="E67" s="175">
        <v>2141</v>
      </c>
      <c r="F67" s="175">
        <v>336</v>
      </c>
      <c r="G67" s="175">
        <v>1805</v>
      </c>
    </row>
    <row r="68" spans="1:8" s="55" customFormat="1" ht="12" customHeight="1">
      <c r="B68" s="122"/>
      <c r="C68" s="62"/>
      <c r="D68" s="170">
        <v>2016</v>
      </c>
      <c r="E68" s="175">
        <v>1906</v>
      </c>
      <c r="F68" s="175">
        <v>282</v>
      </c>
      <c r="G68" s="175">
        <v>1624</v>
      </c>
    </row>
    <row r="69" spans="1:8" s="55" customFormat="1" ht="12" customHeight="1">
      <c r="B69" s="122"/>
      <c r="C69" s="62"/>
      <c r="D69" s="170">
        <v>2017</v>
      </c>
      <c r="E69" s="175">
        <f>SUM(F69:G69)</f>
        <v>1610</v>
      </c>
      <c r="F69" s="175">
        <v>219</v>
      </c>
      <c r="G69" s="175">
        <v>1391</v>
      </c>
    </row>
    <row r="70" spans="1:8" s="55" customFormat="1" ht="6.95" customHeight="1">
      <c r="B70" s="122"/>
      <c r="C70" s="62"/>
      <c r="D70" s="170"/>
      <c r="E70" s="175"/>
      <c r="F70" s="175"/>
      <c r="G70" s="175"/>
    </row>
    <row r="71" spans="1:8" s="55" customFormat="1" ht="12" customHeight="1">
      <c r="B71" s="117" t="s">
        <v>120</v>
      </c>
      <c r="C71" s="62"/>
      <c r="D71" s="170">
        <v>2015</v>
      </c>
      <c r="E71" s="175">
        <v>2251</v>
      </c>
      <c r="F71" s="175">
        <v>408</v>
      </c>
      <c r="G71" s="175">
        <v>1843</v>
      </c>
    </row>
    <row r="72" spans="1:8" s="55" customFormat="1" ht="12" customHeight="1">
      <c r="B72" s="124"/>
      <c r="C72" s="62"/>
      <c r="D72" s="170">
        <v>2016</v>
      </c>
      <c r="E72" s="175">
        <v>2076</v>
      </c>
      <c r="F72" s="175">
        <v>369</v>
      </c>
      <c r="G72" s="175">
        <v>1707</v>
      </c>
    </row>
    <row r="73" spans="1:8" s="55" customFormat="1" ht="12" customHeight="1">
      <c r="A73" s="125"/>
      <c r="B73" s="125"/>
      <c r="C73" s="62"/>
      <c r="D73" s="170">
        <v>2017</v>
      </c>
      <c r="E73" s="175">
        <f>SUM(F73:G73)</f>
        <v>1465</v>
      </c>
      <c r="F73" s="175">
        <v>278</v>
      </c>
      <c r="G73" s="175">
        <v>1187</v>
      </c>
      <c r="H73" s="125"/>
    </row>
    <row r="74" spans="1:8" ht="6.95" customHeight="1" thickBot="1">
      <c r="A74" s="34"/>
      <c r="B74" s="34"/>
      <c r="C74" s="16"/>
      <c r="D74" s="76"/>
      <c r="E74" s="12"/>
      <c r="F74" s="12"/>
      <c r="G74" s="12"/>
      <c r="H74" s="34"/>
    </row>
    <row r="75" spans="1:8" s="18" customFormat="1" ht="12">
      <c r="B75" s="100"/>
      <c r="C75" s="100"/>
      <c r="D75" s="100"/>
      <c r="E75" s="8"/>
      <c r="F75" s="101"/>
      <c r="G75" s="121" t="s">
        <v>104</v>
      </c>
    </row>
    <row r="76" spans="1:8" s="102" customFormat="1" ht="15" customHeight="1">
      <c r="E76" s="8"/>
      <c r="F76" s="101"/>
      <c r="G76" s="41" t="s">
        <v>1</v>
      </c>
    </row>
    <row r="77" spans="1:8" s="18" customFormat="1" ht="15" customHeight="1">
      <c r="B77" s="104"/>
      <c r="C77" s="104"/>
      <c r="D77" s="104"/>
      <c r="E77" s="8"/>
      <c r="F77" s="101"/>
      <c r="G77" s="101"/>
    </row>
    <row r="78" spans="1:8" s="19" customFormat="1" ht="15" customHeight="1">
      <c r="B78" s="105"/>
      <c r="C78" s="105"/>
      <c r="D78" s="105"/>
      <c r="E78" s="106"/>
      <c r="F78" s="107"/>
      <c r="G78" s="107"/>
    </row>
    <row r="79" spans="1:8" s="19" customFormat="1" ht="12">
      <c r="B79" s="105"/>
      <c r="C79" s="105"/>
      <c r="D79" s="105"/>
      <c r="E79" s="106"/>
      <c r="F79" s="107"/>
      <c r="G79" s="107"/>
    </row>
    <row r="80" spans="1:8" ht="15" customHeight="1"/>
    <row r="91" spans="5:8" s="3" customFormat="1" ht="15" customHeight="1">
      <c r="E91" s="21"/>
      <c r="F91" s="22"/>
      <c r="G91" s="22"/>
      <c r="H91" s="2"/>
    </row>
  </sheetData>
  <mergeCells count="7">
    <mergeCell ref="C6:G6"/>
    <mergeCell ref="E8:E9"/>
    <mergeCell ref="F8:F9"/>
    <mergeCell ref="G8:G9"/>
    <mergeCell ref="E10:G10"/>
    <mergeCell ref="B8:C9"/>
    <mergeCell ref="D8:D9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0" fitToWidth="0" orientation="portrait" r:id="rId1"/>
  <headerFooter>
    <oddHeader xml:space="preserve">&amp;R&amp;"-,Bold"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69"/>
  <sheetViews>
    <sheetView showGridLines="0" zoomScaleNormal="100" zoomScaleSheetLayoutView="100" workbookViewId="0">
      <selection activeCell="P43" sqref="P43"/>
    </sheetView>
  </sheetViews>
  <sheetFormatPr defaultColWidth="9.140625" defaultRowHeight="15"/>
  <cols>
    <col min="1" max="1" width="1.7109375" style="2" customWidth="1"/>
    <col min="2" max="2" width="9.85546875" style="3" customWidth="1"/>
    <col min="3" max="3" width="12.28515625" style="3" customWidth="1"/>
    <col min="4" max="4" width="10.85546875" style="3" customWidth="1"/>
    <col min="5" max="5" width="15.7109375" style="21" customWidth="1"/>
    <col min="6" max="7" width="23.7109375" style="22" customWidth="1"/>
    <col min="8" max="8" width="0.85546875" style="2" customWidth="1"/>
    <col min="9" max="16384" width="9.140625" style="2"/>
  </cols>
  <sheetData>
    <row r="1" spans="1:8" s="30" customFormat="1" ht="12" customHeight="1">
      <c r="B1" s="27"/>
      <c r="C1" s="27"/>
      <c r="D1" s="27"/>
      <c r="E1" s="28"/>
      <c r="F1" s="29"/>
      <c r="G1" s="179" t="s">
        <v>188</v>
      </c>
    </row>
    <row r="2" spans="1:8" s="30" customFormat="1" ht="12" customHeight="1">
      <c r="B2" s="27"/>
      <c r="C2" s="27"/>
      <c r="D2" s="27"/>
      <c r="E2" s="28"/>
      <c r="F2" s="29"/>
      <c r="G2" s="180" t="s">
        <v>189</v>
      </c>
    </row>
    <row r="3" spans="1:8" s="30" customFormat="1" ht="12" customHeight="1">
      <c r="B3" s="27"/>
      <c r="C3" s="27"/>
      <c r="D3" s="27"/>
      <c r="E3" s="28"/>
      <c r="F3" s="29"/>
      <c r="G3" s="75"/>
    </row>
    <row r="4" spans="1:8" s="30" customFormat="1" ht="12" customHeight="1">
      <c r="B4" s="27"/>
      <c r="C4" s="27"/>
      <c r="D4" s="27"/>
      <c r="E4" s="28"/>
      <c r="F4" s="29"/>
      <c r="G4" s="75"/>
    </row>
    <row r="5" spans="1:8" s="55" customFormat="1" ht="15" customHeight="1">
      <c r="B5" s="88" t="s">
        <v>92</v>
      </c>
      <c r="C5" s="71" t="s">
        <v>179</v>
      </c>
      <c r="D5" s="71"/>
      <c r="E5" s="70"/>
      <c r="F5" s="71"/>
      <c r="G5" s="71"/>
      <c r="H5" s="71"/>
    </row>
    <row r="6" spans="1:8" s="72" customFormat="1" ht="15" customHeight="1">
      <c r="B6" s="89" t="s">
        <v>93</v>
      </c>
      <c r="C6" s="189" t="s">
        <v>180</v>
      </c>
      <c r="D6" s="189"/>
      <c r="E6" s="189"/>
      <c r="F6" s="189"/>
      <c r="G6" s="189"/>
      <c r="H6" s="74"/>
    </row>
    <row r="7" spans="1:8" ht="9.9499999999999993" customHeight="1" thickBot="1"/>
    <row r="8" spans="1:8" s="55" customFormat="1" ht="20.100000000000001" customHeight="1" thickTop="1">
      <c r="A8" s="53"/>
      <c r="B8" s="196" t="s">
        <v>98</v>
      </c>
      <c r="C8" s="196"/>
      <c r="D8" s="190" t="s">
        <v>100</v>
      </c>
      <c r="E8" s="190" t="s">
        <v>95</v>
      </c>
      <c r="F8" s="192" t="s">
        <v>96</v>
      </c>
      <c r="G8" s="192" t="s">
        <v>97</v>
      </c>
      <c r="H8" s="54"/>
    </row>
    <row r="9" spans="1:8" s="55" customFormat="1" ht="33" customHeight="1" thickBot="1">
      <c r="A9" s="56"/>
      <c r="B9" s="197"/>
      <c r="C9" s="197"/>
      <c r="D9" s="191"/>
      <c r="E9" s="191"/>
      <c r="F9" s="193"/>
      <c r="G9" s="193"/>
      <c r="H9" s="57"/>
    </row>
    <row r="10" spans="1:8" ht="8.1" customHeight="1">
      <c r="A10" s="45"/>
      <c r="B10" s="108"/>
      <c r="C10" s="108"/>
      <c r="D10" s="108"/>
      <c r="E10" s="198"/>
      <c r="F10" s="198"/>
      <c r="G10" s="198"/>
      <c r="H10" s="45"/>
    </row>
    <row r="11" spans="1:8" s="111" customFormat="1" ht="15.95" customHeight="1">
      <c r="B11" s="133" t="s">
        <v>121</v>
      </c>
      <c r="C11" s="68"/>
      <c r="D11" s="69">
        <v>2015</v>
      </c>
      <c r="E11" s="174">
        <f>E15+E19+E23+E27+E31+E35+E39</f>
        <v>2659</v>
      </c>
      <c r="F11" s="151">
        <f t="shared" ref="F11:G11" si="0">F15+F19+F23+F27+F31+F35+F39</f>
        <v>377</v>
      </c>
      <c r="G11" s="174">
        <f t="shared" si="0"/>
        <v>2282</v>
      </c>
    </row>
    <row r="12" spans="1:8" s="111" customFormat="1" ht="15.95" customHeight="1">
      <c r="B12" s="137"/>
      <c r="C12" s="68"/>
      <c r="D12" s="69">
        <v>2016</v>
      </c>
      <c r="E12" s="174">
        <f t="shared" ref="E12:G12" si="1">E16+E20+E24+E28+E32+E36+E40</f>
        <v>2494</v>
      </c>
      <c r="F12" s="174">
        <f t="shared" si="1"/>
        <v>407</v>
      </c>
      <c r="G12" s="174">
        <f t="shared" si="1"/>
        <v>2087</v>
      </c>
    </row>
    <row r="13" spans="1:8" s="111" customFormat="1" ht="15.95" customHeight="1">
      <c r="B13" s="137"/>
      <c r="C13" s="68"/>
      <c r="D13" s="69">
        <v>2017</v>
      </c>
      <c r="E13" s="174">
        <f>F13+G13</f>
        <v>2257</v>
      </c>
      <c r="F13" s="151">
        <f>F17+F21+F25+F29+F33+F37+F41</f>
        <v>354</v>
      </c>
      <c r="G13" s="151">
        <f>G17+G21+G25+G29+G33+G37+G41</f>
        <v>1903</v>
      </c>
    </row>
    <row r="14" spans="1:8" ht="8.1" customHeight="1">
      <c r="A14" s="7"/>
      <c r="B14" s="136"/>
      <c r="C14" s="136"/>
      <c r="D14" s="136"/>
      <c r="E14" s="132"/>
      <c r="F14" s="132"/>
      <c r="G14" s="132"/>
      <c r="H14" s="7"/>
    </row>
    <row r="15" spans="1:8" s="55" customFormat="1" ht="15.95" customHeight="1">
      <c r="B15" s="91" t="s">
        <v>122</v>
      </c>
      <c r="C15" s="68"/>
      <c r="D15" s="170">
        <v>2015</v>
      </c>
      <c r="E15" s="175">
        <v>431</v>
      </c>
      <c r="F15" s="173">
        <v>58</v>
      </c>
      <c r="G15" s="175">
        <v>373</v>
      </c>
    </row>
    <row r="16" spans="1:8" s="55" customFormat="1" ht="15.95" customHeight="1">
      <c r="B16" s="126"/>
      <c r="C16" s="68"/>
      <c r="D16" s="170">
        <v>2016</v>
      </c>
      <c r="E16" s="175">
        <v>498</v>
      </c>
      <c r="F16" s="175">
        <v>87</v>
      </c>
      <c r="G16" s="175">
        <v>411</v>
      </c>
    </row>
    <row r="17" spans="2:7" s="55" customFormat="1" ht="15.95" customHeight="1">
      <c r="B17" s="126"/>
      <c r="C17" s="62"/>
      <c r="D17" s="170">
        <v>2017</v>
      </c>
      <c r="E17" s="175">
        <f>F17+G17</f>
        <v>485</v>
      </c>
      <c r="F17" s="173">
        <v>89</v>
      </c>
      <c r="G17" s="175">
        <v>396</v>
      </c>
    </row>
    <row r="18" spans="2:7" s="55" customFormat="1" ht="9.9499999999999993" customHeight="1">
      <c r="B18" s="126"/>
      <c r="C18" s="62"/>
      <c r="D18" s="170"/>
      <c r="E18" s="175"/>
      <c r="F18" s="173"/>
      <c r="G18" s="175"/>
    </row>
    <row r="19" spans="2:7" s="55" customFormat="1" ht="15.95" customHeight="1">
      <c r="B19" s="91" t="s">
        <v>123</v>
      </c>
      <c r="C19" s="62"/>
      <c r="D19" s="170">
        <v>2015</v>
      </c>
      <c r="E19" s="175">
        <v>395</v>
      </c>
      <c r="F19" s="175">
        <v>72</v>
      </c>
      <c r="G19" s="175">
        <v>323</v>
      </c>
    </row>
    <row r="20" spans="2:7" s="55" customFormat="1" ht="15.95" customHeight="1">
      <c r="B20" s="126"/>
      <c r="C20" s="62"/>
      <c r="D20" s="170">
        <v>2016</v>
      </c>
      <c r="E20" s="175">
        <v>378</v>
      </c>
      <c r="F20" s="175">
        <v>83</v>
      </c>
      <c r="G20" s="175">
        <v>295</v>
      </c>
    </row>
    <row r="21" spans="2:7" s="55" customFormat="1" ht="15.95" customHeight="1">
      <c r="B21" s="126"/>
      <c r="C21" s="62"/>
      <c r="D21" s="170">
        <v>2017</v>
      </c>
      <c r="E21" s="175">
        <f>F21+G21</f>
        <v>318</v>
      </c>
      <c r="F21" s="175">
        <v>55</v>
      </c>
      <c r="G21" s="175">
        <v>263</v>
      </c>
    </row>
    <row r="22" spans="2:7" s="55" customFormat="1" ht="9.9499999999999993" customHeight="1">
      <c r="B22" s="126"/>
      <c r="C22" s="62"/>
      <c r="D22" s="170"/>
      <c r="E22" s="175"/>
      <c r="F22" s="175"/>
      <c r="G22" s="175"/>
    </row>
    <row r="23" spans="2:7" s="55" customFormat="1" ht="15.95" customHeight="1">
      <c r="B23" s="91" t="s">
        <v>124</v>
      </c>
      <c r="C23" s="62"/>
      <c r="D23" s="170">
        <v>2015</v>
      </c>
      <c r="E23" s="175">
        <v>139</v>
      </c>
      <c r="F23" s="175">
        <v>12</v>
      </c>
      <c r="G23" s="175">
        <v>127</v>
      </c>
    </row>
    <row r="24" spans="2:7" s="55" customFormat="1" ht="15.95" customHeight="1">
      <c r="B24" s="126"/>
      <c r="C24" s="62"/>
      <c r="D24" s="170">
        <v>2016</v>
      </c>
      <c r="E24" s="175">
        <v>155</v>
      </c>
      <c r="F24" s="173">
        <v>26</v>
      </c>
      <c r="G24" s="175">
        <v>129</v>
      </c>
    </row>
    <row r="25" spans="2:7" s="55" customFormat="1" ht="15.95" customHeight="1">
      <c r="B25" s="126"/>
      <c r="C25" s="62"/>
      <c r="D25" s="170">
        <v>2017</v>
      </c>
      <c r="E25" s="175">
        <f>F25+G25</f>
        <v>143</v>
      </c>
      <c r="F25" s="175">
        <v>20</v>
      </c>
      <c r="G25" s="175">
        <v>123</v>
      </c>
    </row>
    <row r="26" spans="2:7" s="55" customFormat="1" ht="9.9499999999999993" customHeight="1">
      <c r="B26" s="126"/>
      <c r="C26" s="62"/>
      <c r="D26" s="170"/>
      <c r="E26" s="175"/>
      <c r="F26" s="175"/>
      <c r="G26" s="175"/>
    </row>
    <row r="27" spans="2:7" s="55" customFormat="1" ht="15.95" customHeight="1">
      <c r="B27" s="91" t="s">
        <v>125</v>
      </c>
      <c r="C27" s="62"/>
      <c r="D27" s="170">
        <v>2015</v>
      </c>
      <c r="E27" s="175">
        <v>455</v>
      </c>
      <c r="F27" s="175">
        <v>57</v>
      </c>
      <c r="G27" s="175">
        <v>398</v>
      </c>
    </row>
    <row r="28" spans="2:7" s="55" customFormat="1" ht="15.95" customHeight="1">
      <c r="B28" s="126"/>
      <c r="C28" s="62"/>
      <c r="D28" s="170">
        <v>2016</v>
      </c>
      <c r="E28" s="175">
        <v>413</v>
      </c>
      <c r="F28" s="175">
        <v>56</v>
      </c>
      <c r="G28" s="175">
        <v>357</v>
      </c>
    </row>
    <row r="29" spans="2:7" s="55" customFormat="1" ht="15.95" customHeight="1">
      <c r="B29" s="126"/>
      <c r="C29" s="62"/>
      <c r="D29" s="170">
        <v>2017</v>
      </c>
      <c r="E29" s="175">
        <f>F29+G29</f>
        <v>329</v>
      </c>
      <c r="F29" s="175">
        <v>43</v>
      </c>
      <c r="G29" s="175">
        <v>286</v>
      </c>
    </row>
    <row r="30" spans="2:7" s="55" customFormat="1" ht="9.9499999999999993" customHeight="1">
      <c r="B30" s="126"/>
      <c r="C30" s="62"/>
      <c r="D30" s="170"/>
      <c r="E30" s="175"/>
      <c r="F30" s="175"/>
      <c r="G30" s="175"/>
    </row>
    <row r="31" spans="2:7" s="55" customFormat="1" ht="15.95" customHeight="1">
      <c r="B31" s="91" t="s">
        <v>126</v>
      </c>
      <c r="C31" s="62"/>
      <c r="D31" s="170">
        <v>2015</v>
      </c>
      <c r="E31" s="175">
        <v>912</v>
      </c>
      <c r="F31" s="175">
        <v>114</v>
      </c>
      <c r="G31" s="175">
        <v>798</v>
      </c>
    </row>
    <row r="32" spans="2:7" s="55" customFormat="1" ht="15.95" customHeight="1">
      <c r="B32" s="126"/>
      <c r="C32" s="62"/>
      <c r="D32" s="170">
        <v>2016</v>
      </c>
      <c r="E32" s="175">
        <v>751</v>
      </c>
      <c r="F32" s="175">
        <v>99</v>
      </c>
      <c r="G32" s="175">
        <v>652</v>
      </c>
    </row>
    <row r="33" spans="1:8" s="55" customFormat="1" ht="15.95" customHeight="1">
      <c r="B33" s="126"/>
      <c r="C33" s="62"/>
      <c r="D33" s="170">
        <v>2017</v>
      </c>
      <c r="E33" s="175">
        <f>F33+G33</f>
        <v>701</v>
      </c>
      <c r="F33" s="175">
        <v>97</v>
      </c>
      <c r="G33" s="175">
        <v>604</v>
      </c>
    </row>
    <row r="34" spans="1:8" s="55" customFormat="1" ht="9.9499999999999993" customHeight="1">
      <c r="B34" s="126"/>
      <c r="C34" s="62"/>
      <c r="D34" s="170"/>
      <c r="E34" s="175"/>
      <c r="F34" s="175"/>
      <c r="G34" s="175"/>
    </row>
    <row r="35" spans="1:8" s="55" customFormat="1" ht="15.95" customHeight="1">
      <c r="B35" s="91" t="s">
        <v>127</v>
      </c>
      <c r="C35" s="62"/>
      <c r="D35" s="170">
        <v>2015</v>
      </c>
      <c r="E35" s="175">
        <v>216</v>
      </c>
      <c r="F35" s="175">
        <v>45</v>
      </c>
      <c r="G35" s="175">
        <v>171</v>
      </c>
    </row>
    <row r="36" spans="1:8" s="55" customFormat="1" ht="15.95" customHeight="1">
      <c r="B36" s="126"/>
      <c r="C36" s="62"/>
      <c r="D36" s="170">
        <v>2016</v>
      </c>
      <c r="E36" s="175">
        <v>190</v>
      </c>
      <c r="F36" s="175">
        <v>42</v>
      </c>
      <c r="G36" s="175">
        <v>148</v>
      </c>
    </row>
    <row r="37" spans="1:8" s="55" customFormat="1" ht="15.95" customHeight="1">
      <c r="B37" s="126"/>
      <c r="C37" s="62"/>
      <c r="D37" s="170">
        <v>2017</v>
      </c>
      <c r="E37" s="175">
        <f>F37+G37</f>
        <v>172</v>
      </c>
      <c r="F37" s="175">
        <v>29</v>
      </c>
      <c r="G37" s="175">
        <v>143</v>
      </c>
    </row>
    <row r="38" spans="1:8" s="55" customFormat="1" ht="9.9499999999999993" customHeight="1">
      <c r="B38" s="126"/>
      <c r="C38" s="62"/>
      <c r="D38" s="170"/>
      <c r="E38" s="175"/>
      <c r="F38" s="175"/>
      <c r="G38" s="175"/>
    </row>
    <row r="39" spans="1:8" s="55" customFormat="1" ht="15.95" customHeight="1">
      <c r="B39" s="91" t="s">
        <v>128</v>
      </c>
      <c r="C39" s="62"/>
      <c r="D39" s="170">
        <v>2015</v>
      </c>
      <c r="E39" s="175">
        <v>111</v>
      </c>
      <c r="F39" s="173">
        <v>19</v>
      </c>
      <c r="G39" s="175">
        <v>92</v>
      </c>
    </row>
    <row r="40" spans="1:8" s="55" customFormat="1" ht="15.95" customHeight="1">
      <c r="B40" s="124"/>
      <c r="C40" s="62"/>
      <c r="D40" s="170">
        <v>2016</v>
      </c>
      <c r="E40" s="175">
        <v>109</v>
      </c>
      <c r="F40" s="175">
        <v>14</v>
      </c>
      <c r="G40" s="175">
        <v>95</v>
      </c>
    </row>
    <row r="41" spans="1:8" s="55" customFormat="1" ht="15.95" customHeight="1">
      <c r="A41" s="125"/>
      <c r="B41" s="125"/>
      <c r="C41" s="62"/>
      <c r="D41" s="170">
        <v>2017</v>
      </c>
      <c r="E41" s="175">
        <f>F41+G41</f>
        <v>109</v>
      </c>
      <c r="F41" s="173">
        <v>21</v>
      </c>
      <c r="G41" s="175">
        <v>88</v>
      </c>
      <c r="H41" s="125"/>
    </row>
    <row r="42" spans="1:8" ht="8.1" customHeight="1" thickBot="1">
      <c r="A42" s="34"/>
      <c r="B42" s="34"/>
      <c r="C42" s="16"/>
      <c r="D42" s="140"/>
      <c r="E42" s="12"/>
      <c r="F42" s="33"/>
      <c r="G42" s="12"/>
      <c r="H42" s="34"/>
    </row>
    <row r="43" spans="1:8">
      <c r="D43" s="139"/>
      <c r="G43" s="121" t="s">
        <v>104</v>
      </c>
    </row>
    <row r="44" spans="1:8">
      <c r="D44" s="139"/>
      <c r="G44" s="41" t="s">
        <v>1</v>
      </c>
    </row>
    <row r="45" spans="1:8" s="37" customFormat="1">
      <c r="B45" s="38"/>
      <c r="C45" s="43"/>
      <c r="D45" s="43"/>
      <c r="F45" s="103"/>
      <c r="G45" s="103"/>
    </row>
    <row r="46" spans="1:8" s="37" customFormat="1">
      <c r="B46" s="44"/>
      <c r="C46" s="43"/>
      <c r="D46" s="43"/>
      <c r="F46" s="103"/>
      <c r="G46" s="103"/>
    </row>
    <row r="47" spans="1:8">
      <c r="D47" s="139"/>
    </row>
    <row r="48" spans="1:8">
      <c r="D48" s="139"/>
    </row>
    <row r="49" spans="4:4">
      <c r="D49" s="139"/>
    </row>
    <row r="50" spans="4:4">
      <c r="D50" s="139"/>
    </row>
    <row r="51" spans="4:4">
      <c r="D51" s="139"/>
    </row>
    <row r="52" spans="4:4">
      <c r="D52" s="139"/>
    </row>
    <row r="53" spans="4:4">
      <c r="D53" s="139"/>
    </row>
    <row r="54" spans="4:4">
      <c r="D54" s="139"/>
    </row>
    <row r="55" spans="4:4">
      <c r="D55" s="139"/>
    </row>
    <row r="56" spans="4:4">
      <c r="D56" s="139"/>
    </row>
    <row r="57" spans="4:4">
      <c r="D57" s="139"/>
    </row>
    <row r="58" spans="4:4">
      <c r="D58" s="139"/>
    </row>
    <row r="59" spans="4:4">
      <c r="D59" s="139"/>
    </row>
    <row r="60" spans="4:4">
      <c r="D60" s="139"/>
    </row>
    <row r="61" spans="4:4">
      <c r="D61" s="139"/>
    </row>
    <row r="62" spans="4:4">
      <c r="D62" s="139"/>
    </row>
    <row r="63" spans="4:4">
      <c r="D63" s="139"/>
    </row>
    <row r="64" spans="4:4">
      <c r="D64" s="139"/>
    </row>
    <row r="65" spans="4:4">
      <c r="D65" s="139"/>
    </row>
    <row r="66" spans="4:4">
      <c r="D66" s="139"/>
    </row>
    <row r="67" spans="4:4">
      <c r="D67" s="139"/>
    </row>
    <row r="68" spans="4:4">
      <c r="D68" s="139"/>
    </row>
    <row r="69" spans="4:4">
      <c r="D69" s="139"/>
    </row>
  </sheetData>
  <mergeCells count="7">
    <mergeCell ref="C6:G6"/>
    <mergeCell ref="E8:E9"/>
    <mergeCell ref="F8:F9"/>
    <mergeCell ref="G8:G9"/>
    <mergeCell ref="E10:G10"/>
    <mergeCell ref="B8:C9"/>
    <mergeCell ref="D8:D9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0" fitToWidth="0" orientation="portrait" r:id="rId1"/>
  <headerFooter>
    <oddHeader xml:space="preserve">&amp;R&amp;"-,Bold"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69"/>
  <sheetViews>
    <sheetView showGridLines="0" topLeftCell="A4" zoomScale="90" zoomScaleNormal="90" zoomScaleSheetLayoutView="100" workbookViewId="0">
      <selection activeCell="P43" sqref="P43"/>
    </sheetView>
  </sheetViews>
  <sheetFormatPr defaultColWidth="9.140625" defaultRowHeight="15"/>
  <cols>
    <col min="1" max="1" width="1.7109375" style="2" customWidth="1"/>
    <col min="2" max="2" width="11.140625" style="3" customWidth="1"/>
    <col min="3" max="4" width="14.5703125" style="3" customWidth="1"/>
    <col min="5" max="5" width="15.7109375" style="4" customWidth="1"/>
    <col min="6" max="7" width="22.85546875" style="5" customWidth="1"/>
    <col min="8" max="8" width="0.85546875" style="2" customWidth="1"/>
    <col min="9" max="16384" width="9.140625" style="2"/>
  </cols>
  <sheetData>
    <row r="1" spans="1:12" s="30" customFormat="1" ht="12" customHeight="1">
      <c r="B1" s="27"/>
      <c r="C1" s="27"/>
      <c r="D1" s="27"/>
      <c r="E1" s="28"/>
      <c r="F1" s="29"/>
      <c r="G1" s="179" t="s">
        <v>188</v>
      </c>
    </row>
    <row r="2" spans="1:12" s="30" customFormat="1" ht="12" customHeight="1">
      <c r="B2" s="27"/>
      <c r="C2" s="27"/>
      <c r="D2" s="27"/>
      <c r="E2" s="28"/>
      <c r="F2" s="29"/>
      <c r="G2" s="180" t="s">
        <v>189</v>
      </c>
    </row>
    <row r="3" spans="1:12" s="30" customFormat="1" ht="12" customHeight="1">
      <c r="B3" s="27"/>
      <c r="C3" s="27"/>
      <c r="D3" s="27"/>
      <c r="E3" s="28"/>
      <c r="F3" s="29"/>
      <c r="G3" s="75"/>
    </row>
    <row r="4" spans="1:12" s="30" customFormat="1" ht="12" customHeight="1">
      <c r="B4" s="27"/>
      <c r="C4" s="27"/>
      <c r="D4" s="27"/>
      <c r="E4" s="28"/>
      <c r="F4" s="29"/>
      <c r="G4" s="75"/>
    </row>
    <row r="5" spans="1:12" s="55" customFormat="1" ht="15" customHeight="1">
      <c r="B5" s="88" t="s">
        <v>92</v>
      </c>
      <c r="C5" s="71" t="s">
        <v>179</v>
      </c>
      <c r="D5" s="71"/>
      <c r="E5" s="70"/>
      <c r="F5" s="71"/>
      <c r="G5" s="71"/>
      <c r="H5" s="71"/>
    </row>
    <row r="6" spans="1:12" s="72" customFormat="1" ht="15" customHeight="1">
      <c r="B6" s="89" t="s">
        <v>93</v>
      </c>
      <c r="C6" s="189" t="s">
        <v>180</v>
      </c>
      <c r="D6" s="189"/>
      <c r="E6" s="189"/>
      <c r="F6" s="189"/>
      <c r="G6" s="189"/>
      <c r="H6" s="74"/>
    </row>
    <row r="7" spans="1:12" ht="9.9499999999999993" customHeight="1" thickBot="1">
      <c r="E7" s="21"/>
      <c r="F7" s="22"/>
      <c r="G7" s="22"/>
    </row>
    <row r="8" spans="1:12" s="55" customFormat="1" ht="20.100000000000001" customHeight="1" thickTop="1">
      <c r="A8" s="53"/>
      <c r="B8" s="196" t="s">
        <v>98</v>
      </c>
      <c r="C8" s="196"/>
      <c r="D8" s="190" t="s">
        <v>100</v>
      </c>
      <c r="E8" s="190" t="s">
        <v>95</v>
      </c>
      <c r="F8" s="192" t="s">
        <v>96</v>
      </c>
      <c r="G8" s="192" t="s">
        <v>97</v>
      </c>
      <c r="H8" s="54"/>
    </row>
    <row r="9" spans="1:12" s="55" customFormat="1" ht="33" customHeight="1">
      <c r="A9" s="56"/>
      <c r="B9" s="197"/>
      <c r="C9" s="197"/>
      <c r="D9" s="191"/>
      <c r="E9" s="191"/>
      <c r="F9" s="193"/>
      <c r="G9" s="193"/>
      <c r="H9" s="57"/>
    </row>
    <row r="10" spans="1:12" s="6" customFormat="1" ht="8.1" customHeight="1">
      <c r="B10" s="13"/>
      <c r="C10" s="13"/>
      <c r="D10" s="13"/>
      <c r="E10" s="52"/>
      <c r="F10" s="52"/>
      <c r="G10" s="1"/>
      <c r="J10" s="42"/>
      <c r="L10" s="42"/>
    </row>
    <row r="11" spans="1:12" s="55" customFormat="1" ht="17.100000000000001" customHeight="1">
      <c r="B11" s="68" t="s">
        <v>183</v>
      </c>
      <c r="C11" s="68"/>
      <c r="D11" s="130">
        <v>2015</v>
      </c>
      <c r="E11" s="127">
        <f>E15+E19+E23+E27+E31+E35</f>
        <v>15946</v>
      </c>
      <c r="F11" s="127">
        <f t="shared" ref="F11:G11" si="0">F15+F19+F23+F27+F31+F35</f>
        <v>3672</v>
      </c>
      <c r="G11" s="127">
        <f t="shared" si="0"/>
        <v>12274</v>
      </c>
    </row>
    <row r="12" spans="1:12" s="55" customFormat="1" ht="17.100000000000001" customHeight="1">
      <c r="B12" s="68"/>
      <c r="C12" s="68"/>
      <c r="D12" s="130">
        <v>2016</v>
      </c>
      <c r="E12" s="127">
        <f t="shared" ref="E12:G12" si="1">E16+E20+E24+E28+E32+E36</f>
        <v>16989</v>
      </c>
      <c r="F12" s="127">
        <f t="shared" si="1"/>
        <v>3776</v>
      </c>
      <c r="G12" s="127">
        <f t="shared" si="1"/>
        <v>13213</v>
      </c>
    </row>
    <row r="13" spans="1:12" s="111" customFormat="1" ht="17.100000000000001" customHeight="1">
      <c r="B13" s="68"/>
      <c r="C13" s="68"/>
      <c r="D13" s="130">
        <v>2017</v>
      </c>
      <c r="E13" s="127">
        <f>F13+G13</f>
        <v>13482</v>
      </c>
      <c r="F13" s="127">
        <f>F17+F21+F25+F29+F33+F37</f>
        <v>3999</v>
      </c>
      <c r="G13" s="127">
        <f>G17+G21+G25+G29+G33+G37</f>
        <v>9483</v>
      </c>
      <c r="J13" s="129"/>
    </row>
    <row r="14" spans="1:12" s="111" customFormat="1" ht="8.1" customHeight="1">
      <c r="B14" s="68"/>
      <c r="C14" s="68"/>
      <c r="D14" s="130"/>
      <c r="E14" s="127"/>
      <c r="F14" s="127"/>
      <c r="G14" s="127"/>
      <c r="J14" s="129"/>
    </row>
    <row r="15" spans="1:12" s="55" customFormat="1" ht="17.100000000000001" customHeight="1">
      <c r="B15" s="62" t="s">
        <v>81</v>
      </c>
      <c r="C15" s="62"/>
      <c r="D15" s="177">
        <v>2015</v>
      </c>
      <c r="E15" s="175">
        <v>2903</v>
      </c>
      <c r="F15" s="175">
        <v>597</v>
      </c>
      <c r="G15" s="175">
        <v>2306</v>
      </c>
    </row>
    <row r="16" spans="1:12" s="55" customFormat="1" ht="17.100000000000001" customHeight="1">
      <c r="B16" s="62"/>
      <c r="C16" s="62"/>
      <c r="D16" s="177">
        <v>2016</v>
      </c>
      <c r="E16" s="175">
        <v>2753</v>
      </c>
      <c r="F16" s="175">
        <v>608</v>
      </c>
      <c r="G16" s="175">
        <v>2145</v>
      </c>
    </row>
    <row r="17" spans="2:10" s="111" customFormat="1" ht="17.100000000000001" customHeight="1">
      <c r="B17" s="62"/>
      <c r="C17" s="62"/>
      <c r="D17" s="177">
        <v>2017</v>
      </c>
      <c r="E17" s="175">
        <f>F17+G17</f>
        <v>2020</v>
      </c>
      <c r="F17" s="175">
        <v>579</v>
      </c>
      <c r="G17" s="175">
        <v>1441</v>
      </c>
      <c r="J17" s="129"/>
    </row>
    <row r="18" spans="2:10" s="111" customFormat="1" ht="8.1" customHeight="1">
      <c r="B18" s="62"/>
      <c r="C18" s="62"/>
      <c r="D18" s="177"/>
      <c r="E18" s="128"/>
      <c r="F18" s="128"/>
      <c r="G18" s="128"/>
      <c r="J18" s="129"/>
    </row>
    <row r="19" spans="2:10" s="55" customFormat="1" ht="17.100000000000001" customHeight="1">
      <c r="B19" s="62" t="s">
        <v>82</v>
      </c>
      <c r="C19" s="62"/>
      <c r="D19" s="177">
        <v>2015</v>
      </c>
      <c r="E19" s="175">
        <v>2691</v>
      </c>
      <c r="F19" s="175">
        <v>564</v>
      </c>
      <c r="G19" s="175">
        <v>2127</v>
      </c>
    </row>
    <row r="20" spans="2:10" s="124" customFormat="1" ht="17.100000000000001" customHeight="1">
      <c r="B20" s="62"/>
      <c r="C20" s="62"/>
      <c r="D20" s="177">
        <v>2016</v>
      </c>
      <c r="E20" s="175">
        <v>2495</v>
      </c>
      <c r="F20" s="175">
        <v>460</v>
      </c>
      <c r="G20" s="175">
        <v>2035</v>
      </c>
      <c r="H20" s="55"/>
    </row>
    <row r="21" spans="2:10" s="111" customFormat="1" ht="17.100000000000001" customHeight="1">
      <c r="B21" s="62"/>
      <c r="C21" s="62"/>
      <c r="D21" s="177">
        <v>2017</v>
      </c>
      <c r="E21" s="175">
        <f>F21+G21</f>
        <v>1942</v>
      </c>
      <c r="F21" s="175">
        <v>472</v>
      </c>
      <c r="G21" s="175">
        <v>1470</v>
      </c>
      <c r="J21" s="129"/>
    </row>
    <row r="22" spans="2:10" s="111" customFormat="1" ht="8.1" customHeight="1">
      <c r="B22" s="62"/>
      <c r="C22" s="62"/>
      <c r="D22" s="177"/>
      <c r="E22" s="128"/>
      <c r="F22" s="128"/>
      <c r="G22" s="128"/>
      <c r="J22" s="129"/>
    </row>
    <row r="23" spans="2:10" s="55" customFormat="1" ht="17.100000000000001" customHeight="1">
      <c r="B23" s="62" t="s">
        <v>83</v>
      </c>
      <c r="C23" s="62"/>
      <c r="D23" s="177">
        <v>2015</v>
      </c>
      <c r="E23" s="175">
        <v>3600</v>
      </c>
      <c r="F23" s="175">
        <v>1001</v>
      </c>
      <c r="G23" s="175">
        <v>2599</v>
      </c>
    </row>
    <row r="24" spans="2:10" s="55" customFormat="1" ht="17.100000000000001" customHeight="1">
      <c r="B24" s="62"/>
      <c r="C24" s="62"/>
      <c r="D24" s="177">
        <v>2016</v>
      </c>
      <c r="E24" s="175">
        <v>4375</v>
      </c>
      <c r="F24" s="175">
        <v>1064</v>
      </c>
      <c r="G24" s="175">
        <v>3311</v>
      </c>
    </row>
    <row r="25" spans="2:10" s="111" customFormat="1" ht="17.100000000000001" customHeight="1">
      <c r="B25" s="62"/>
      <c r="C25" s="62"/>
      <c r="D25" s="177">
        <v>2017</v>
      </c>
      <c r="E25" s="175">
        <f>F25+G25</f>
        <v>3606</v>
      </c>
      <c r="F25" s="175">
        <v>1352</v>
      </c>
      <c r="G25" s="175">
        <v>2254</v>
      </c>
      <c r="J25" s="129"/>
    </row>
    <row r="26" spans="2:10" s="111" customFormat="1" ht="8.1" customHeight="1">
      <c r="B26" s="62"/>
      <c r="C26" s="62"/>
      <c r="D26" s="177"/>
      <c r="E26" s="128"/>
      <c r="F26" s="128"/>
      <c r="G26" s="128"/>
      <c r="J26" s="129"/>
    </row>
    <row r="27" spans="2:10" s="55" customFormat="1" ht="17.100000000000001" customHeight="1">
      <c r="B27" s="62" t="s">
        <v>84</v>
      </c>
      <c r="C27" s="62"/>
      <c r="D27" s="177">
        <v>2015</v>
      </c>
      <c r="E27" s="175">
        <v>3670</v>
      </c>
      <c r="F27" s="175">
        <v>892</v>
      </c>
      <c r="G27" s="175">
        <v>2778</v>
      </c>
    </row>
    <row r="28" spans="2:10" s="55" customFormat="1" ht="17.100000000000001" customHeight="1">
      <c r="B28" s="62"/>
      <c r="C28" s="62"/>
      <c r="D28" s="177">
        <v>2016</v>
      </c>
      <c r="E28" s="175">
        <v>3606</v>
      </c>
      <c r="F28" s="175">
        <v>909</v>
      </c>
      <c r="G28" s="175">
        <v>2697</v>
      </c>
    </row>
    <row r="29" spans="2:10" s="111" customFormat="1" ht="17.100000000000001" customHeight="1">
      <c r="B29" s="62"/>
      <c r="C29" s="62"/>
      <c r="D29" s="177">
        <v>2017</v>
      </c>
      <c r="E29" s="175">
        <f>F29+G29</f>
        <v>2847</v>
      </c>
      <c r="F29" s="175">
        <v>784</v>
      </c>
      <c r="G29" s="175">
        <v>2063</v>
      </c>
      <c r="J29" s="129"/>
    </row>
    <row r="30" spans="2:10" s="111" customFormat="1" ht="8.1" customHeight="1">
      <c r="B30" s="62"/>
      <c r="C30" s="62"/>
      <c r="D30" s="177"/>
      <c r="E30" s="128"/>
      <c r="F30" s="128"/>
      <c r="G30" s="128"/>
      <c r="J30" s="129"/>
    </row>
    <row r="31" spans="2:10" s="55" customFormat="1" ht="17.100000000000001" customHeight="1">
      <c r="B31" s="62" t="s">
        <v>85</v>
      </c>
      <c r="C31" s="62"/>
      <c r="D31" s="177">
        <v>2015</v>
      </c>
      <c r="E31" s="175">
        <v>2820</v>
      </c>
      <c r="F31" s="175">
        <v>592</v>
      </c>
      <c r="G31" s="175">
        <v>2228</v>
      </c>
    </row>
    <row r="32" spans="2:10" s="55" customFormat="1" ht="17.100000000000001" customHeight="1">
      <c r="B32" s="62"/>
      <c r="C32" s="94"/>
      <c r="D32" s="177">
        <v>2016</v>
      </c>
      <c r="E32" s="175">
        <v>3472</v>
      </c>
      <c r="F32" s="175">
        <v>710</v>
      </c>
      <c r="G32" s="175">
        <v>2762</v>
      </c>
    </row>
    <row r="33" spans="1:10" s="111" customFormat="1" ht="17.100000000000001" customHeight="1">
      <c r="B33" s="62"/>
      <c r="C33" s="94"/>
      <c r="D33" s="177">
        <v>2017</v>
      </c>
      <c r="E33" s="175">
        <f>F33+G33</f>
        <v>2812</v>
      </c>
      <c r="F33" s="175">
        <v>793</v>
      </c>
      <c r="G33" s="175">
        <v>2019</v>
      </c>
      <c r="J33" s="129"/>
    </row>
    <row r="34" spans="1:10" s="111" customFormat="1" ht="8.1" customHeight="1">
      <c r="B34" s="62"/>
      <c r="C34" s="94"/>
      <c r="D34" s="177"/>
      <c r="E34" s="128"/>
      <c r="F34" s="128"/>
      <c r="G34" s="128"/>
      <c r="J34" s="129"/>
    </row>
    <row r="35" spans="1:10" s="55" customFormat="1" ht="17.100000000000001" customHeight="1">
      <c r="B35" s="62" t="s">
        <v>86</v>
      </c>
      <c r="C35" s="62"/>
      <c r="D35" s="177">
        <v>2015</v>
      </c>
      <c r="E35" s="175">
        <v>262</v>
      </c>
      <c r="F35" s="175">
        <v>26</v>
      </c>
      <c r="G35" s="175">
        <v>236</v>
      </c>
    </row>
    <row r="36" spans="1:10" s="55" customFormat="1" ht="17.100000000000001" customHeight="1">
      <c r="B36" s="62"/>
      <c r="C36" s="94"/>
      <c r="D36" s="177">
        <v>2016</v>
      </c>
      <c r="E36" s="175">
        <v>288</v>
      </c>
      <c r="F36" s="175">
        <v>25</v>
      </c>
      <c r="G36" s="175">
        <v>263</v>
      </c>
    </row>
    <row r="37" spans="1:10" s="111" customFormat="1" ht="17.100000000000001" customHeight="1">
      <c r="B37" s="62"/>
      <c r="C37" s="94"/>
      <c r="D37" s="177">
        <v>2017</v>
      </c>
      <c r="E37" s="175">
        <f>F37+G37</f>
        <v>255</v>
      </c>
      <c r="F37" s="175">
        <v>19</v>
      </c>
      <c r="G37" s="175">
        <v>236</v>
      </c>
      <c r="J37" s="129"/>
    </row>
    <row r="38" spans="1:10" s="24" customFormat="1" ht="8.1" customHeight="1" thickBot="1">
      <c r="A38" s="109"/>
      <c r="B38" s="32"/>
      <c r="C38" s="32"/>
      <c r="D38" s="138"/>
      <c r="E38" s="12"/>
      <c r="F38" s="12"/>
      <c r="G38" s="12"/>
    </row>
    <row r="39" spans="1:10">
      <c r="D39" s="139"/>
      <c r="G39" s="121" t="s">
        <v>104</v>
      </c>
    </row>
    <row r="40" spans="1:10">
      <c r="D40" s="139"/>
      <c r="G40" s="41" t="s">
        <v>1</v>
      </c>
    </row>
    <row r="41" spans="1:10">
      <c r="D41" s="139"/>
    </row>
    <row r="42" spans="1:10">
      <c r="B42" s="38"/>
      <c r="C42" s="43"/>
      <c r="D42" s="139"/>
    </row>
    <row r="43" spans="1:10">
      <c r="B43" s="44"/>
      <c r="C43" s="43"/>
      <c r="D43" s="139"/>
    </row>
    <row r="44" spans="1:10">
      <c r="D44" s="139"/>
    </row>
    <row r="45" spans="1:10">
      <c r="D45" s="139"/>
    </row>
    <row r="46" spans="1:10">
      <c r="D46" s="139"/>
    </row>
    <row r="47" spans="1:10">
      <c r="D47" s="139"/>
    </row>
    <row r="48" spans="1:10">
      <c r="D48" s="139"/>
    </row>
    <row r="49" spans="4:4">
      <c r="D49" s="139"/>
    </row>
    <row r="50" spans="4:4">
      <c r="D50" s="139"/>
    </row>
    <row r="51" spans="4:4">
      <c r="D51" s="139"/>
    </row>
    <row r="52" spans="4:4">
      <c r="D52" s="139"/>
    </row>
    <row r="53" spans="4:4">
      <c r="D53" s="139"/>
    </row>
    <row r="54" spans="4:4">
      <c r="D54" s="139"/>
    </row>
    <row r="55" spans="4:4">
      <c r="D55" s="139"/>
    </row>
    <row r="56" spans="4:4">
      <c r="D56" s="139"/>
    </row>
    <row r="57" spans="4:4">
      <c r="D57" s="139"/>
    </row>
    <row r="58" spans="4:4">
      <c r="D58" s="139"/>
    </row>
    <row r="59" spans="4:4">
      <c r="D59" s="139"/>
    </row>
    <row r="60" spans="4:4">
      <c r="D60" s="139"/>
    </row>
    <row r="61" spans="4:4">
      <c r="D61" s="139"/>
    </row>
    <row r="62" spans="4:4">
      <c r="D62" s="139"/>
    </row>
    <row r="63" spans="4:4">
      <c r="D63" s="139"/>
    </row>
    <row r="64" spans="4:4">
      <c r="D64" s="139"/>
    </row>
    <row r="65" spans="4:4">
      <c r="D65" s="139"/>
    </row>
    <row r="66" spans="4:4">
      <c r="D66" s="139"/>
    </row>
    <row r="67" spans="4:4">
      <c r="D67" s="139"/>
    </row>
    <row r="68" spans="4:4">
      <c r="D68" s="139"/>
    </row>
    <row r="69" spans="4:4">
      <c r="D69" s="139"/>
    </row>
  </sheetData>
  <mergeCells count="6">
    <mergeCell ref="C6:G6"/>
    <mergeCell ref="E8:E9"/>
    <mergeCell ref="F8:F9"/>
    <mergeCell ref="G8:G9"/>
    <mergeCell ref="B8:C9"/>
    <mergeCell ref="D8:D9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0" fitToWidth="0" orientation="portrait" r:id="rId1"/>
  <headerFooter>
    <oddHeader xml:space="preserve">&amp;R&amp;"-,Bold"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77"/>
  <sheetViews>
    <sheetView showGridLines="0" view="pageBreakPreview" topLeftCell="A37" zoomScaleNormal="100" zoomScaleSheetLayoutView="100" workbookViewId="0">
      <selection activeCell="N33" sqref="N33"/>
    </sheetView>
  </sheetViews>
  <sheetFormatPr defaultColWidth="9.140625" defaultRowHeight="15"/>
  <cols>
    <col min="1" max="1" width="1.28515625" style="30" customWidth="1"/>
    <col min="2" max="2" width="9.85546875" style="27" customWidth="1"/>
    <col min="3" max="3" width="7.85546875" style="27" customWidth="1"/>
    <col min="4" max="4" width="11.28515625" style="27" customWidth="1"/>
    <col min="5" max="5" width="13.7109375" style="28" customWidth="1"/>
    <col min="6" max="8" width="13.7109375" style="29" customWidth="1"/>
    <col min="9" max="9" width="19" style="224" customWidth="1"/>
    <col min="10" max="10" width="0.85546875" style="30" customWidth="1"/>
    <col min="11" max="16384" width="9.140625" style="30"/>
  </cols>
  <sheetData>
    <row r="1" spans="1:10" ht="12" customHeight="1">
      <c r="E1" s="27"/>
      <c r="F1" s="28"/>
      <c r="H1" s="30"/>
      <c r="I1" s="199" t="s">
        <v>188</v>
      </c>
    </row>
    <row r="2" spans="1:10" ht="12" customHeight="1">
      <c r="E2" s="27"/>
      <c r="F2" s="28"/>
      <c r="H2" s="30"/>
      <c r="I2" s="75" t="s">
        <v>189</v>
      </c>
    </row>
    <row r="3" spans="1:10" ht="12" customHeight="1">
      <c r="E3" s="27"/>
      <c r="F3" s="28"/>
      <c r="H3" s="75"/>
      <c r="I3" s="30"/>
    </row>
    <row r="4" spans="1:10" ht="12" customHeight="1">
      <c r="E4" s="27"/>
      <c r="F4" s="28"/>
      <c r="H4" s="75"/>
      <c r="I4" s="30"/>
    </row>
    <row r="5" spans="1:10" s="200" customFormat="1" ht="15" customHeight="1">
      <c r="B5" s="88" t="s">
        <v>203</v>
      </c>
      <c r="C5" s="71" t="s">
        <v>204</v>
      </c>
      <c r="D5" s="71"/>
      <c r="E5" s="71"/>
      <c r="F5" s="71"/>
      <c r="G5" s="71"/>
      <c r="H5" s="71"/>
      <c r="I5" s="71"/>
      <c r="J5" s="71"/>
    </row>
    <row r="6" spans="1:10" s="74" customFormat="1" ht="16.5" customHeight="1">
      <c r="B6" s="89" t="s">
        <v>205</v>
      </c>
      <c r="C6" s="74" t="s">
        <v>206</v>
      </c>
    </row>
    <row r="7" spans="1:10" ht="9.9499999999999993" customHeight="1" thickBot="1"/>
    <row r="8" spans="1:10" ht="8.25" customHeight="1" thickTop="1">
      <c r="A8" s="201"/>
      <c r="B8" s="225"/>
      <c r="C8" s="226"/>
      <c r="D8" s="202"/>
      <c r="E8" s="227"/>
      <c r="F8" s="227"/>
      <c r="G8" s="227"/>
      <c r="H8" s="227"/>
      <c r="I8" s="227"/>
      <c r="J8" s="226"/>
    </row>
    <row r="9" spans="1:10" s="208" customFormat="1" ht="33.75" customHeight="1">
      <c r="A9" s="228"/>
      <c r="B9" s="206" t="s">
        <v>194</v>
      </c>
      <c r="C9" s="205"/>
      <c r="D9" s="57" t="s">
        <v>100</v>
      </c>
      <c r="E9" s="57" t="s">
        <v>95</v>
      </c>
      <c r="F9" s="207" t="s">
        <v>207</v>
      </c>
      <c r="G9" s="207" t="s">
        <v>208</v>
      </c>
      <c r="H9" s="207" t="s">
        <v>209</v>
      </c>
      <c r="I9" s="229" t="s">
        <v>210</v>
      </c>
      <c r="J9" s="205"/>
    </row>
    <row r="10" spans="1:10" s="37" customFormat="1" ht="6.75" customHeight="1">
      <c r="B10" s="40"/>
      <c r="C10" s="40"/>
      <c r="D10" s="38"/>
      <c r="E10" s="43"/>
      <c r="F10" s="103"/>
      <c r="G10" s="230"/>
      <c r="H10" s="103"/>
    </row>
    <row r="11" spans="1:10" s="37" customFormat="1" ht="12.95" customHeight="1">
      <c r="A11" s="117"/>
      <c r="B11" s="231" t="s">
        <v>195</v>
      </c>
      <c r="C11" s="232"/>
      <c r="D11" s="69">
        <v>2015</v>
      </c>
      <c r="E11" s="174">
        <f>+E15+E19+E23+E27+E31+E35+E39+E43+E47+E51+E55+E59+E63+E67</f>
        <v>21809</v>
      </c>
      <c r="F11" s="174">
        <f>+F15+F19+F23+F27+F31+F35+F39+F43+F47+F51+F55+F59+F63+F67</f>
        <v>498</v>
      </c>
      <c r="G11" s="174">
        <f>+G15+G19+G23+G27+G31+G35+G39+G43+G47+G51+G55+G59+G63+G67</f>
        <v>2047</v>
      </c>
      <c r="H11" s="174">
        <f>+H15+H19+H23+H27+H31+H35+H39+H43+H47+H51+H55+H59+H63+H67</f>
        <v>13749</v>
      </c>
      <c r="I11" s="233">
        <f>+I15+I19+I23+I27+I31+I35+I39+I43+I47+I51+I55+I59+I63+I67</f>
        <v>5515</v>
      </c>
    </row>
    <row r="12" spans="1:10" s="234" customFormat="1" ht="12.95" customHeight="1">
      <c r="A12" s="117"/>
      <c r="B12" s="232"/>
      <c r="C12" s="232"/>
      <c r="D12" s="67">
        <v>2016</v>
      </c>
      <c r="E12" s="174">
        <f t="shared" ref="E12:F13" si="0">+E16+E20+E24+E28+E32+E36+E40+E44+E48+E52+E56+E60+E64+E68</f>
        <v>22326</v>
      </c>
      <c r="F12" s="174">
        <f>+F16+F20+F24+F28+F32+F36+F40+F48+F52+F56+F60+F64+F68</f>
        <v>456</v>
      </c>
      <c r="G12" s="174">
        <f t="shared" ref="G12:I13" si="1">+G16+G20+G24+G28+G32+G36+G40+G44+G48+G52+G56+G60+G64+G68</f>
        <v>1886</v>
      </c>
      <c r="H12" s="174">
        <f t="shared" si="1"/>
        <v>14453</v>
      </c>
      <c r="I12" s="233">
        <f t="shared" si="1"/>
        <v>5531</v>
      </c>
    </row>
    <row r="13" spans="1:10" s="234" customFormat="1" ht="12.95" customHeight="1">
      <c r="A13" s="117"/>
      <c r="B13" s="232"/>
      <c r="C13" s="232"/>
      <c r="D13" s="67">
        <v>2017</v>
      </c>
      <c r="E13" s="174">
        <f t="shared" si="0"/>
        <v>21366</v>
      </c>
      <c r="F13" s="174">
        <f t="shared" si="0"/>
        <v>379</v>
      </c>
      <c r="G13" s="174">
        <f t="shared" si="1"/>
        <v>1835</v>
      </c>
      <c r="H13" s="174">
        <f t="shared" si="1"/>
        <v>14128</v>
      </c>
      <c r="I13" s="233">
        <f t="shared" si="1"/>
        <v>5024</v>
      </c>
    </row>
    <row r="14" spans="1:10" s="234" customFormat="1" ht="8.1" customHeight="1">
      <c r="A14" s="117"/>
      <c r="B14" s="232"/>
      <c r="C14" s="232"/>
      <c r="D14" s="176"/>
      <c r="E14" s="174"/>
      <c r="F14" s="174"/>
      <c r="G14" s="174"/>
      <c r="H14" s="174"/>
      <c r="I14" s="233"/>
      <c r="J14" s="234">
        <f>J18+J22+J30+J38+J42+J46+J50+J54+J58+J62+J70</f>
        <v>0</v>
      </c>
    </row>
    <row r="15" spans="1:10" ht="12.95" customHeight="1">
      <c r="A15" s="208"/>
      <c r="B15" s="235" t="s">
        <v>99</v>
      </c>
      <c r="C15" s="236"/>
      <c r="D15" s="170">
        <v>2015</v>
      </c>
      <c r="E15" s="175">
        <v>2413</v>
      </c>
      <c r="F15" s="175">
        <v>74</v>
      </c>
      <c r="G15" s="175">
        <v>265</v>
      </c>
      <c r="H15" s="175">
        <v>1424</v>
      </c>
      <c r="I15" s="237">
        <v>650</v>
      </c>
    </row>
    <row r="16" spans="1:10" ht="12.95" customHeight="1">
      <c r="A16" s="208"/>
      <c r="B16" s="235"/>
      <c r="C16" s="236"/>
      <c r="D16" s="176">
        <v>2016</v>
      </c>
      <c r="E16" s="175">
        <v>2820</v>
      </c>
      <c r="F16" s="175">
        <v>70</v>
      </c>
      <c r="G16" s="175">
        <v>274</v>
      </c>
      <c r="H16" s="175">
        <v>1768</v>
      </c>
      <c r="I16" s="237">
        <v>708</v>
      </c>
    </row>
    <row r="17" spans="1:13" ht="12.95" customHeight="1">
      <c r="A17" s="208"/>
      <c r="B17" s="235"/>
      <c r="C17" s="236"/>
      <c r="D17" s="176">
        <v>2017</v>
      </c>
      <c r="E17" s="175">
        <f>SUM(F17:I17)</f>
        <v>2578</v>
      </c>
      <c r="F17" s="175">
        <v>66</v>
      </c>
      <c r="G17" s="175">
        <v>196</v>
      </c>
      <c r="H17" s="175">
        <v>1702</v>
      </c>
      <c r="I17" s="237">
        <v>614</v>
      </c>
    </row>
    <row r="18" spans="1:13" ht="8.1" customHeight="1">
      <c r="A18" s="208"/>
      <c r="B18" s="235"/>
      <c r="C18" s="236"/>
      <c r="D18" s="176"/>
      <c r="E18" s="175"/>
      <c r="F18" s="175"/>
      <c r="G18" s="175"/>
      <c r="H18" s="175"/>
      <c r="I18" s="237"/>
    </row>
    <row r="19" spans="1:13" ht="12.95" customHeight="1">
      <c r="A19" s="208"/>
      <c r="B19" s="235" t="s">
        <v>102</v>
      </c>
      <c r="C19" s="236"/>
      <c r="D19" s="170">
        <v>2015</v>
      </c>
      <c r="E19" s="175">
        <v>1311</v>
      </c>
      <c r="F19" s="175">
        <v>29</v>
      </c>
      <c r="G19" s="175">
        <v>204</v>
      </c>
      <c r="H19" s="175">
        <v>676</v>
      </c>
      <c r="I19" s="237">
        <v>402</v>
      </c>
    </row>
    <row r="20" spans="1:13" ht="12.95" customHeight="1">
      <c r="A20" s="208"/>
      <c r="B20" s="235"/>
      <c r="C20" s="236"/>
      <c r="D20" s="176">
        <v>2016</v>
      </c>
      <c r="E20" s="175">
        <v>1239</v>
      </c>
      <c r="F20" s="175">
        <v>17</v>
      </c>
      <c r="G20" s="175">
        <v>165</v>
      </c>
      <c r="H20" s="175">
        <v>659</v>
      </c>
      <c r="I20" s="237">
        <v>398</v>
      </c>
    </row>
    <row r="21" spans="1:13" ht="12.95" customHeight="1">
      <c r="A21" s="208"/>
      <c r="B21" s="235"/>
      <c r="C21" s="236"/>
      <c r="D21" s="176">
        <v>2017</v>
      </c>
      <c r="E21" s="175">
        <f>SUM(F21:I21)</f>
        <v>996</v>
      </c>
      <c r="F21" s="175">
        <v>21</v>
      </c>
      <c r="G21" s="175">
        <v>119</v>
      </c>
      <c r="H21" s="175">
        <v>492</v>
      </c>
      <c r="I21" s="237">
        <v>364</v>
      </c>
    </row>
    <row r="22" spans="1:13" ht="8.1" customHeight="1">
      <c r="A22" s="208"/>
      <c r="B22" s="235"/>
      <c r="C22" s="236"/>
      <c r="D22" s="176"/>
      <c r="E22" s="175"/>
      <c r="F22" s="175"/>
      <c r="G22" s="175"/>
      <c r="H22" s="175"/>
      <c r="I22" s="237"/>
    </row>
    <row r="23" spans="1:13" ht="12.95" customHeight="1">
      <c r="A23" s="208"/>
      <c r="B23" s="235" t="s">
        <v>196</v>
      </c>
      <c r="C23" s="236"/>
      <c r="D23" s="170">
        <v>2015</v>
      </c>
      <c r="E23" s="175">
        <v>644</v>
      </c>
      <c r="F23" s="175">
        <v>12</v>
      </c>
      <c r="G23" s="175">
        <v>180</v>
      </c>
      <c r="H23" s="175">
        <v>176</v>
      </c>
      <c r="I23" s="237">
        <v>276</v>
      </c>
    </row>
    <row r="24" spans="1:13" ht="12.95" customHeight="1">
      <c r="A24" s="208"/>
      <c r="B24" s="235"/>
      <c r="C24" s="236"/>
      <c r="D24" s="176">
        <v>2016</v>
      </c>
      <c r="E24" s="175">
        <v>543</v>
      </c>
      <c r="F24" s="175">
        <v>10</v>
      </c>
      <c r="G24" s="175">
        <v>144</v>
      </c>
      <c r="H24" s="175">
        <v>98</v>
      </c>
      <c r="I24" s="237">
        <v>291</v>
      </c>
    </row>
    <row r="25" spans="1:13" ht="12.95" customHeight="1">
      <c r="A25" s="208"/>
      <c r="B25" s="235"/>
      <c r="C25" s="236"/>
      <c r="D25" s="176">
        <v>2017</v>
      </c>
      <c r="E25" s="175">
        <f>SUM(F25:I25)</f>
        <v>600</v>
      </c>
      <c r="F25" s="175">
        <v>13</v>
      </c>
      <c r="G25" s="175">
        <v>114</v>
      </c>
      <c r="H25" s="175">
        <v>221</v>
      </c>
      <c r="I25" s="237">
        <v>252</v>
      </c>
    </row>
    <row r="26" spans="1:13" ht="8.1" customHeight="1">
      <c r="A26" s="208"/>
      <c r="B26" s="235"/>
      <c r="C26" s="236"/>
      <c r="D26" s="176"/>
      <c r="E26" s="175"/>
      <c r="F26" s="175"/>
      <c r="G26" s="175"/>
      <c r="H26" s="175"/>
      <c r="I26" s="237"/>
    </row>
    <row r="27" spans="1:13" ht="12.95" customHeight="1">
      <c r="A27" s="208"/>
      <c r="B27" s="235" t="s">
        <v>197</v>
      </c>
      <c r="C27" s="236"/>
      <c r="D27" s="170">
        <v>2015</v>
      </c>
      <c r="E27" s="175">
        <v>586</v>
      </c>
      <c r="F27" s="175">
        <v>8</v>
      </c>
      <c r="G27" s="175">
        <v>82</v>
      </c>
      <c r="H27" s="175">
        <v>304</v>
      </c>
      <c r="I27" s="237">
        <v>192</v>
      </c>
    </row>
    <row r="28" spans="1:13" ht="12.95" customHeight="1">
      <c r="A28" s="208"/>
      <c r="B28" s="235"/>
      <c r="C28" s="236"/>
      <c r="D28" s="176">
        <v>2016</v>
      </c>
      <c r="E28" s="175">
        <v>1154</v>
      </c>
      <c r="F28" s="175">
        <v>13</v>
      </c>
      <c r="G28" s="175">
        <v>60</v>
      </c>
      <c r="H28" s="175">
        <v>888</v>
      </c>
      <c r="I28" s="237">
        <v>193</v>
      </c>
    </row>
    <row r="29" spans="1:13" ht="12.95" customHeight="1">
      <c r="A29" s="208"/>
      <c r="B29" s="235"/>
      <c r="C29" s="236"/>
      <c r="D29" s="176">
        <v>2017</v>
      </c>
      <c r="E29" s="175">
        <f>SUM(F29:I29)</f>
        <v>842</v>
      </c>
      <c r="F29" s="175">
        <v>7</v>
      </c>
      <c r="G29" s="175">
        <v>69</v>
      </c>
      <c r="H29" s="175">
        <v>590</v>
      </c>
      <c r="I29" s="237">
        <v>176</v>
      </c>
    </row>
    <row r="30" spans="1:13" ht="8.1" customHeight="1">
      <c r="A30" s="208"/>
      <c r="B30" s="235"/>
      <c r="C30" s="236"/>
      <c r="D30" s="176"/>
      <c r="E30" s="175"/>
      <c r="F30" s="175"/>
      <c r="G30" s="175"/>
      <c r="H30" s="175"/>
      <c r="I30" s="237"/>
    </row>
    <row r="31" spans="1:13" ht="12.95" customHeight="1">
      <c r="A31" s="208"/>
      <c r="B31" s="235" t="s">
        <v>31</v>
      </c>
      <c r="C31" s="236"/>
      <c r="D31" s="170">
        <v>2015</v>
      </c>
      <c r="E31" s="175">
        <v>1279</v>
      </c>
      <c r="F31" s="175">
        <v>22</v>
      </c>
      <c r="G31" s="175">
        <v>117</v>
      </c>
      <c r="H31" s="175">
        <v>877</v>
      </c>
      <c r="I31" s="237">
        <v>263</v>
      </c>
    </row>
    <row r="32" spans="1:13" s="27" customFormat="1" ht="12.95" customHeight="1">
      <c r="A32" s="112"/>
      <c r="B32" s="235"/>
      <c r="C32" s="236"/>
      <c r="D32" s="176">
        <v>2016</v>
      </c>
      <c r="E32" s="175">
        <v>1084</v>
      </c>
      <c r="F32" s="175">
        <v>17</v>
      </c>
      <c r="G32" s="175">
        <v>107</v>
      </c>
      <c r="H32" s="175">
        <v>701</v>
      </c>
      <c r="I32" s="237">
        <v>259</v>
      </c>
      <c r="J32" s="30"/>
      <c r="K32" s="30"/>
      <c r="L32" s="30"/>
      <c r="M32" s="30"/>
    </row>
    <row r="33" spans="1:9" ht="12.95" customHeight="1">
      <c r="A33" s="208"/>
      <c r="B33" s="235"/>
      <c r="C33" s="236"/>
      <c r="D33" s="176">
        <v>2017</v>
      </c>
      <c r="E33" s="175">
        <f>SUM(F33:I33)</f>
        <v>884</v>
      </c>
      <c r="F33" s="175">
        <v>14</v>
      </c>
      <c r="G33" s="175">
        <v>91</v>
      </c>
      <c r="H33" s="175">
        <v>538</v>
      </c>
      <c r="I33" s="237">
        <v>241</v>
      </c>
    </row>
    <row r="34" spans="1:9" ht="8.1" customHeight="1">
      <c r="A34" s="208"/>
      <c r="B34" s="235"/>
      <c r="C34" s="236"/>
      <c r="D34" s="176"/>
      <c r="E34" s="175"/>
      <c r="F34" s="175"/>
      <c r="G34" s="175"/>
      <c r="H34" s="175"/>
      <c r="I34" s="237"/>
    </row>
    <row r="35" spans="1:9" ht="12.95" customHeight="1">
      <c r="A35" s="208"/>
      <c r="B35" s="235" t="s">
        <v>103</v>
      </c>
      <c r="C35" s="236"/>
      <c r="D35" s="170">
        <v>2015</v>
      </c>
      <c r="E35" s="175">
        <v>677</v>
      </c>
      <c r="F35" s="175">
        <v>18</v>
      </c>
      <c r="G35" s="175">
        <v>94</v>
      </c>
      <c r="H35" s="175">
        <v>315</v>
      </c>
      <c r="I35" s="237">
        <v>250</v>
      </c>
    </row>
    <row r="36" spans="1:9" ht="12.95" customHeight="1">
      <c r="A36" s="208"/>
      <c r="B36" s="235"/>
      <c r="C36" s="236"/>
      <c r="D36" s="176">
        <v>2016</v>
      </c>
      <c r="E36" s="175">
        <v>651</v>
      </c>
      <c r="F36" s="175">
        <v>15</v>
      </c>
      <c r="G36" s="175">
        <v>134</v>
      </c>
      <c r="H36" s="175">
        <v>293</v>
      </c>
      <c r="I36" s="237">
        <v>209</v>
      </c>
    </row>
    <row r="37" spans="1:9" ht="12.95" customHeight="1">
      <c r="A37" s="208"/>
      <c r="B37" s="235"/>
      <c r="C37" s="236"/>
      <c r="D37" s="176">
        <v>2017</v>
      </c>
      <c r="E37" s="175">
        <f>SUM(F37:I37)</f>
        <v>656</v>
      </c>
      <c r="F37" s="175">
        <v>16</v>
      </c>
      <c r="G37" s="175">
        <v>163</v>
      </c>
      <c r="H37" s="175">
        <v>289</v>
      </c>
      <c r="I37" s="237">
        <v>188</v>
      </c>
    </row>
    <row r="38" spans="1:9" ht="8.1" customHeight="1">
      <c r="A38" s="208"/>
      <c r="B38" s="235"/>
      <c r="C38" s="236"/>
      <c r="D38" s="176"/>
      <c r="E38" s="175"/>
      <c r="F38" s="175"/>
      <c r="G38" s="175"/>
      <c r="H38" s="175"/>
      <c r="I38" s="237"/>
    </row>
    <row r="39" spans="1:9" ht="12.95" customHeight="1">
      <c r="A39" s="208"/>
      <c r="B39" s="235" t="s">
        <v>182</v>
      </c>
      <c r="C39" s="236"/>
      <c r="D39" s="170">
        <v>2015</v>
      </c>
      <c r="E39" s="175">
        <v>1288</v>
      </c>
      <c r="F39" s="175">
        <v>50</v>
      </c>
      <c r="G39" s="175">
        <v>92</v>
      </c>
      <c r="H39" s="175">
        <v>774</v>
      </c>
      <c r="I39" s="237">
        <v>372</v>
      </c>
    </row>
    <row r="40" spans="1:9" ht="12.95" customHeight="1">
      <c r="A40" s="208"/>
      <c r="B40" s="235"/>
      <c r="C40" s="236"/>
      <c r="D40" s="176">
        <v>2016</v>
      </c>
      <c r="E40" s="175">
        <v>1295</v>
      </c>
      <c r="F40" s="175">
        <v>42</v>
      </c>
      <c r="G40" s="175">
        <v>96</v>
      </c>
      <c r="H40" s="175">
        <v>745</v>
      </c>
      <c r="I40" s="237">
        <v>412</v>
      </c>
    </row>
    <row r="41" spans="1:9" ht="12.95" customHeight="1">
      <c r="A41" s="208"/>
      <c r="B41" s="235"/>
      <c r="C41" s="236"/>
      <c r="D41" s="176">
        <v>2017</v>
      </c>
      <c r="E41" s="175">
        <f>SUM(F41:I41)</f>
        <v>1140</v>
      </c>
      <c r="F41" s="175">
        <v>35</v>
      </c>
      <c r="G41" s="175">
        <v>95</v>
      </c>
      <c r="H41" s="175">
        <v>630</v>
      </c>
      <c r="I41" s="237">
        <v>380</v>
      </c>
    </row>
    <row r="42" spans="1:9" ht="8.1" customHeight="1">
      <c r="A42" s="208"/>
      <c r="B42" s="235"/>
      <c r="C42" s="236"/>
      <c r="D42" s="176"/>
      <c r="E42" s="175"/>
      <c r="F42" s="175"/>
      <c r="G42" s="175"/>
      <c r="H42" s="175"/>
      <c r="I42" s="237"/>
    </row>
    <row r="43" spans="1:9" ht="12.95" customHeight="1">
      <c r="A43" s="208"/>
      <c r="B43" s="235" t="s">
        <v>49</v>
      </c>
      <c r="C43" s="236"/>
      <c r="D43" s="170">
        <v>2015</v>
      </c>
      <c r="E43" s="175">
        <v>142</v>
      </c>
      <c r="F43" s="175">
        <v>1</v>
      </c>
      <c r="G43" s="175">
        <v>31</v>
      </c>
      <c r="H43" s="175">
        <v>25</v>
      </c>
      <c r="I43" s="237">
        <v>85</v>
      </c>
    </row>
    <row r="44" spans="1:9" ht="12.95" customHeight="1">
      <c r="A44" s="208"/>
      <c r="B44" s="235"/>
      <c r="C44" s="236"/>
      <c r="D44" s="176">
        <v>2016</v>
      </c>
      <c r="E44" s="175">
        <v>109</v>
      </c>
      <c r="F44" s="175" t="s">
        <v>51</v>
      </c>
      <c r="G44" s="175">
        <v>31</v>
      </c>
      <c r="H44" s="175">
        <v>26</v>
      </c>
      <c r="I44" s="237">
        <v>52</v>
      </c>
    </row>
    <row r="45" spans="1:9" ht="12.95" customHeight="1">
      <c r="A45" s="208"/>
      <c r="B45" s="235"/>
      <c r="C45" s="236"/>
      <c r="D45" s="176">
        <v>2017</v>
      </c>
      <c r="E45" s="175">
        <f>SUM(F45:I45)</f>
        <v>132</v>
      </c>
      <c r="F45" s="175">
        <v>2</v>
      </c>
      <c r="G45" s="175">
        <v>30</v>
      </c>
      <c r="H45" s="175">
        <v>53</v>
      </c>
      <c r="I45" s="237">
        <v>47</v>
      </c>
    </row>
    <row r="46" spans="1:9" ht="8.1" customHeight="1">
      <c r="A46" s="208"/>
      <c r="B46" s="235"/>
      <c r="C46" s="236"/>
      <c r="D46" s="176"/>
      <c r="E46" s="175"/>
      <c r="F46" s="175"/>
      <c r="G46" s="175"/>
      <c r="H46" s="175"/>
      <c r="I46" s="237"/>
    </row>
    <row r="47" spans="1:9" ht="12.95" customHeight="1">
      <c r="A47" s="208"/>
      <c r="B47" s="235" t="s">
        <v>50</v>
      </c>
      <c r="C47" s="236"/>
      <c r="D47" s="170">
        <v>2015</v>
      </c>
      <c r="E47" s="175">
        <v>1211</v>
      </c>
      <c r="F47" s="175">
        <v>31</v>
      </c>
      <c r="G47" s="175">
        <v>77</v>
      </c>
      <c r="H47" s="175">
        <v>779</v>
      </c>
      <c r="I47" s="237">
        <v>324</v>
      </c>
    </row>
    <row r="48" spans="1:9" ht="12.95" customHeight="1">
      <c r="A48" s="208"/>
      <c r="B48" s="235"/>
      <c r="C48" s="236"/>
      <c r="D48" s="176">
        <v>2016</v>
      </c>
      <c r="E48" s="175">
        <v>1038</v>
      </c>
      <c r="F48" s="175">
        <v>28</v>
      </c>
      <c r="G48" s="175">
        <v>65</v>
      </c>
      <c r="H48" s="175">
        <v>633</v>
      </c>
      <c r="I48" s="237">
        <v>312</v>
      </c>
    </row>
    <row r="49" spans="1:9" ht="12.95" customHeight="1">
      <c r="A49" s="208"/>
      <c r="B49" s="235"/>
      <c r="C49" s="236"/>
      <c r="D49" s="176">
        <v>2017</v>
      </c>
      <c r="E49" s="175">
        <f>SUM(F49:I49)</f>
        <v>1078</v>
      </c>
      <c r="F49" s="175">
        <v>17</v>
      </c>
      <c r="G49" s="175">
        <v>80</v>
      </c>
      <c r="H49" s="175">
        <v>706</v>
      </c>
      <c r="I49" s="237">
        <v>275</v>
      </c>
    </row>
    <row r="50" spans="1:9" ht="8.1" customHeight="1">
      <c r="A50" s="208"/>
      <c r="B50" s="235"/>
      <c r="C50" s="236"/>
      <c r="D50" s="176"/>
      <c r="E50" s="175"/>
      <c r="F50" s="175"/>
      <c r="G50" s="175"/>
      <c r="H50" s="175"/>
      <c r="I50" s="237"/>
    </row>
    <row r="51" spans="1:9" ht="12.95" customHeight="1">
      <c r="A51" s="208"/>
      <c r="B51" s="235" t="s">
        <v>158</v>
      </c>
      <c r="C51" s="236"/>
      <c r="D51" s="170">
        <v>2015</v>
      </c>
      <c r="E51" s="175">
        <v>773</v>
      </c>
      <c r="F51" s="175">
        <v>36</v>
      </c>
      <c r="G51" s="175">
        <v>215</v>
      </c>
      <c r="H51" s="175">
        <v>259</v>
      </c>
      <c r="I51" s="237">
        <v>263</v>
      </c>
    </row>
    <row r="52" spans="1:9" ht="12.95" customHeight="1">
      <c r="A52" s="208"/>
      <c r="B52" s="235"/>
      <c r="C52" s="236"/>
      <c r="D52" s="176">
        <v>2016</v>
      </c>
      <c r="E52" s="175">
        <v>647</v>
      </c>
      <c r="F52" s="175">
        <v>60</v>
      </c>
      <c r="G52" s="175">
        <v>193</v>
      </c>
      <c r="H52" s="175">
        <v>181</v>
      </c>
      <c r="I52" s="237">
        <v>213</v>
      </c>
    </row>
    <row r="53" spans="1:9" ht="12.95" customHeight="1">
      <c r="A53" s="208"/>
      <c r="B53" s="235"/>
      <c r="C53" s="236"/>
      <c r="D53" s="176">
        <v>2017</v>
      </c>
      <c r="E53" s="175">
        <f>SUM(F53:I53)</f>
        <v>761</v>
      </c>
      <c r="F53" s="175">
        <v>36</v>
      </c>
      <c r="G53" s="175">
        <v>211</v>
      </c>
      <c r="H53" s="175">
        <v>284</v>
      </c>
      <c r="I53" s="237">
        <v>230</v>
      </c>
    </row>
    <row r="54" spans="1:9" ht="8.1" customHeight="1">
      <c r="A54" s="208"/>
      <c r="B54" s="235"/>
      <c r="C54" s="236"/>
      <c r="D54" s="176"/>
      <c r="E54" s="175"/>
      <c r="F54" s="175"/>
      <c r="G54" s="175"/>
      <c r="H54" s="175"/>
      <c r="I54" s="237"/>
    </row>
    <row r="55" spans="1:9" ht="12.95" customHeight="1">
      <c r="A55" s="208"/>
      <c r="B55" s="235" t="s">
        <v>129</v>
      </c>
      <c r="C55" s="236"/>
      <c r="D55" s="170">
        <v>2015</v>
      </c>
      <c r="E55" s="175">
        <v>853</v>
      </c>
      <c r="F55" s="175">
        <v>37</v>
      </c>
      <c r="G55" s="175">
        <v>148</v>
      </c>
      <c r="H55" s="175">
        <v>306</v>
      </c>
      <c r="I55" s="237">
        <v>362</v>
      </c>
    </row>
    <row r="56" spans="1:9" ht="12.95" customHeight="1">
      <c r="A56" s="208"/>
      <c r="B56" s="235"/>
      <c r="C56" s="236"/>
      <c r="D56" s="176">
        <v>2016</v>
      </c>
      <c r="E56" s="175">
        <v>953</v>
      </c>
      <c r="F56" s="175">
        <v>27</v>
      </c>
      <c r="G56" s="175">
        <v>138</v>
      </c>
      <c r="H56" s="175">
        <v>374</v>
      </c>
      <c r="I56" s="237">
        <v>414</v>
      </c>
    </row>
    <row r="57" spans="1:9" ht="12.95" customHeight="1">
      <c r="A57" s="208"/>
      <c r="B57" s="235"/>
      <c r="C57" s="236"/>
      <c r="D57" s="176">
        <v>2017</v>
      </c>
      <c r="E57" s="175">
        <f>SUM(F57:I57)</f>
        <v>876</v>
      </c>
      <c r="F57" s="175">
        <v>27</v>
      </c>
      <c r="G57" s="175">
        <v>150</v>
      </c>
      <c r="H57" s="175">
        <v>331</v>
      </c>
      <c r="I57" s="237">
        <v>368</v>
      </c>
    </row>
    <row r="58" spans="1:9" ht="8.1" customHeight="1">
      <c r="A58" s="208"/>
      <c r="B58" s="235"/>
      <c r="C58" s="236"/>
      <c r="D58" s="176"/>
      <c r="E58" s="175"/>
      <c r="F58" s="175"/>
      <c r="G58" s="175"/>
      <c r="H58" s="175"/>
      <c r="I58" s="237"/>
    </row>
    <row r="59" spans="1:9" ht="12.95" customHeight="1">
      <c r="A59" s="208"/>
      <c r="B59" s="235" t="s">
        <v>105</v>
      </c>
      <c r="C59" s="236"/>
      <c r="D59" s="170">
        <v>2015</v>
      </c>
      <c r="E59" s="175">
        <v>6583</v>
      </c>
      <c r="F59" s="175">
        <v>137</v>
      </c>
      <c r="G59" s="175">
        <v>309</v>
      </c>
      <c r="H59" s="175">
        <v>4920</v>
      </c>
      <c r="I59" s="237">
        <v>1217</v>
      </c>
    </row>
    <row r="60" spans="1:9" ht="12.95" customHeight="1">
      <c r="A60" s="208"/>
      <c r="B60" s="235"/>
      <c r="C60" s="236"/>
      <c r="D60" s="176">
        <v>2016</v>
      </c>
      <c r="E60" s="175">
        <v>6610</v>
      </c>
      <c r="F60" s="175">
        <v>105</v>
      </c>
      <c r="G60" s="175">
        <v>305</v>
      </c>
      <c r="H60" s="175">
        <v>4940</v>
      </c>
      <c r="I60" s="237">
        <v>1260</v>
      </c>
    </row>
    <row r="61" spans="1:9" ht="12.95" customHeight="1">
      <c r="A61" s="208"/>
      <c r="B61" s="235"/>
      <c r="C61" s="236"/>
      <c r="D61" s="176">
        <v>2017</v>
      </c>
      <c r="E61" s="175">
        <f>SUM(F61:I61)</f>
        <v>6470</v>
      </c>
      <c r="F61" s="175">
        <v>83</v>
      </c>
      <c r="G61" s="175">
        <v>321</v>
      </c>
      <c r="H61" s="175">
        <v>4958</v>
      </c>
      <c r="I61" s="237">
        <v>1108</v>
      </c>
    </row>
    <row r="62" spans="1:9" ht="8.1" customHeight="1">
      <c r="A62" s="208"/>
      <c r="B62" s="235"/>
      <c r="C62" s="236"/>
      <c r="D62" s="176"/>
      <c r="E62" s="175"/>
      <c r="F62" s="175"/>
      <c r="G62" s="175"/>
      <c r="H62" s="175"/>
      <c r="I62" s="237"/>
    </row>
    <row r="63" spans="1:9" ht="12.95" customHeight="1">
      <c r="A63" s="208"/>
      <c r="B63" s="235" t="s">
        <v>121</v>
      </c>
      <c r="C63" s="236"/>
      <c r="D63" s="170">
        <v>2015</v>
      </c>
      <c r="E63" s="175">
        <v>377</v>
      </c>
      <c r="F63" s="175">
        <v>8</v>
      </c>
      <c r="G63" s="175">
        <v>110</v>
      </c>
      <c r="H63" s="175">
        <v>125</v>
      </c>
      <c r="I63" s="237">
        <v>134</v>
      </c>
    </row>
    <row r="64" spans="1:9" ht="12.95" customHeight="1">
      <c r="A64" s="208"/>
      <c r="B64" s="235"/>
      <c r="C64" s="236"/>
      <c r="D64" s="176">
        <v>2016</v>
      </c>
      <c r="E64" s="175">
        <v>407</v>
      </c>
      <c r="F64" s="175">
        <v>11</v>
      </c>
      <c r="G64" s="175">
        <v>81</v>
      </c>
      <c r="H64" s="175">
        <v>148</v>
      </c>
      <c r="I64" s="237">
        <v>167</v>
      </c>
    </row>
    <row r="65" spans="1:9" ht="12.95" customHeight="1">
      <c r="A65" s="208"/>
      <c r="B65" s="235"/>
      <c r="C65" s="236"/>
      <c r="D65" s="176">
        <v>2017</v>
      </c>
      <c r="E65" s="175">
        <f>SUM(F65:I65)</f>
        <v>354</v>
      </c>
      <c r="F65" s="175">
        <v>5</v>
      </c>
      <c r="G65" s="175">
        <v>64</v>
      </c>
      <c r="H65" s="175">
        <v>155</v>
      </c>
      <c r="I65" s="237">
        <v>130</v>
      </c>
    </row>
    <row r="66" spans="1:9" ht="8.1" customHeight="1">
      <c r="A66" s="208"/>
      <c r="B66" s="235"/>
      <c r="C66" s="236"/>
      <c r="D66" s="176"/>
      <c r="E66" s="175"/>
      <c r="F66" s="175"/>
      <c r="G66" s="175"/>
      <c r="H66" s="175"/>
      <c r="I66" s="237"/>
    </row>
    <row r="67" spans="1:9" ht="12.95" customHeight="1">
      <c r="A67" s="208"/>
      <c r="B67" s="235" t="s">
        <v>183</v>
      </c>
      <c r="C67" s="236"/>
      <c r="D67" s="170">
        <v>2015</v>
      </c>
      <c r="E67" s="175">
        <v>3672</v>
      </c>
      <c r="F67" s="175">
        <v>35</v>
      </c>
      <c r="G67" s="175">
        <v>123</v>
      </c>
      <c r="H67" s="175">
        <v>2789</v>
      </c>
      <c r="I67" s="237">
        <v>725</v>
      </c>
    </row>
    <row r="68" spans="1:9" ht="12.95" customHeight="1">
      <c r="A68" s="208"/>
      <c r="B68" s="236"/>
      <c r="C68" s="236"/>
      <c r="D68" s="176">
        <v>2016</v>
      </c>
      <c r="E68" s="175">
        <v>3776</v>
      </c>
      <c r="F68" s="175">
        <v>41</v>
      </c>
      <c r="G68" s="175">
        <v>93</v>
      </c>
      <c r="H68" s="175">
        <v>2999</v>
      </c>
      <c r="I68" s="237">
        <v>643</v>
      </c>
    </row>
    <row r="69" spans="1:9" ht="12.95" customHeight="1">
      <c r="A69" s="117"/>
      <c r="B69" s="236"/>
      <c r="C69" s="236"/>
      <c r="D69" s="170">
        <v>2017</v>
      </c>
      <c r="E69" s="175">
        <f>SUM(F69:I69)</f>
        <v>3999</v>
      </c>
      <c r="F69" s="175">
        <v>37</v>
      </c>
      <c r="G69" s="175">
        <v>132</v>
      </c>
      <c r="H69" s="175">
        <v>3179</v>
      </c>
      <c r="I69" s="237">
        <v>651</v>
      </c>
    </row>
    <row r="70" spans="1:9" ht="8.1" customHeight="1" thickBot="1">
      <c r="A70" s="50"/>
      <c r="B70" s="238"/>
      <c r="C70" s="238"/>
      <c r="D70" s="212"/>
      <c r="E70" s="12"/>
      <c r="F70" s="12"/>
      <c r="G70" s="12"/>
      <c r="H70" s="12"/>
      <c r="I70" s="239"/>
    </row>
    <row r="71" spans="1:9">
      <c r="I71" s="215" t="s">
        <v>104</v>
      </c>
    </row>
    <row r="72" spans="1:9">
      <c r="I72" s="216" t="s">
        <v>1</v>
      </c>
    </row>
    <row r="73" spans="1:9" s="217" customFormat="1" ht="11.25">
      <c r="B73" s="218" t="s">
        <v>198</v>
      </c>
      <c r="C73" s="218"/>
      <c r="D73" s="218"/>
      <c r="E73" s="219"/>
      <c r="F73" s="220"/>
      <c r="G73" s="220"/>
    </row>
    <row r="74" spans="1:9" s="217" customFormat="1" ht="11.25">
      <c r="B74" s="221" t="s">
        <v>199</v>
      </c>
      <c r="C74" s="218"/>
      <c r="D74" s="218"/>
      <c r="E74" s="219"/>
      <c r="F74" s="220"/>
      <c r="G74" s="220"/>
    </row>
    <row r="75" spans="1:9" s="217" customFormat="1" ht="11.25">
      <c r="B75" s="222" t="s">
        <v>200</v>
      </c>
      <c r="C75" s="218"/>
      <c r="D75" s="218"/>
      <c r="E75" s="219"/>
      <c r="F75" s="220"/>
      <c r="G75" s="220"/>
    </row>
    <row r="76" spans="1:9" s="217" customFormat="1" ht="11.25">
      <c r="B76" s="221" t="s">
        <v>201</v>
      </c>
      <c r="C76" s="218"/>
      <c r="D76" s="218"/>
      <c r="E76" s="219"/>
      <c r="F76" s="220"/>
      <c r="G76" s="220"/>
    </row>
    <row r="77" spans="1:9" s="217" customFormat="1" ht="11.25">
      <c r="B77" s="223" t="s">
        <v>202</v>
      </c>
      <c r="C77" s="218"/>
      <c r="D77" s="218"/>
      <c r="E77" s="219"/>
      <c r="F77" s="220"/>
      <c r="G77" s="220"/>
    </row>
  </sheetData>
  <mergeCells count="1">
    <mergeCell ref="E8:I8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85" fitToWidth="0" orientation="portrait" r:id="rId1"/>
  <headerFooter>
    <oddHeader xml:space="preserve">&amp;R&amp;"-,Bold"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76"/>
  <sheetViews>
    <sheetView showGridLines="0" zoomScaleNormal="100" zoomScaleSheetLayoutView="100" workbookViewId="0">
      <selection activeCell="O30" sqref="O30"/>
    </sheetView>
  </sheetViews>
  <sheetFormatPr defaultRowHeight="15"/>
  <cols>
    <col min="1" max="1" width="1.42578125" style="2" customWidth="1"/>
    <col min="2" max="2" width="9.85546875" style="3" customWidth="1"/>
    <col min="3" max="3" width="10.85546875" style="3" customWidth="1"/>
    <col min="4" max="4" width="8.5703125" style="3" customWidth="1"/>
    <col min="5" max="5" width="12.28515625" style="21" customWidth="1"/>
    <col min="6" max="8" width="12.28515625" style="22" customWidth="1"/>
    <col min="9" max="9" width="15.7109375" style="5" customWidth="1"/>
    <col min="10" max="10" width="0.85546875" style="2" customWidth="1"/>
    <col min="11" max="16384" width="9.140625" style="2"/>
  </cols>
  <sheetData>
    <row r="1" spans="1:15" ht="9.9499999999999993" customHeight="1">
      <c r="B1" s="3" t="s">
        <v>224</v>
      </c>
    </row>
    <row r="2" spans="1:15" s="30" customFormat="1" ht="12.95" customHeight="1">
      <c r="B2" s="27"/>
      <c r="C2" s="27"/>
      <c r="D2" s="29"/>
      <c r="E2" s="28"/>
      <c r="F2" s="29"/>
      <c r="I2" s="199" t="s">
        <v>188</v>
      </c>
      <c r="J2" s="29"/>
    </row>
    <row r="3" spans="1:15" s="30" customFormat="1" ht="12.95" customHeight="1">
      <c r="B3" s="27"/>
      <c r="C3" s="27"/>
      <c r="D3" s="29"/>
      <c r="E3" s="28"/>
      <c r="F3" s="29"/>
      <c r="I3" s="75" t="s">
        <v>189</v>
      </c>
      <c r="J3" s="29"/>
    </row>
    <row r="4" spans="1:15" s="30" customFormat="1" ht="12" customHeight="1">
      <c r="B4" s="27"/>
      <c r="C4" s="27"/>
      <c r="D4" s="29"/>
      <c r="E4" s="28"/>
      <c r="F4" s="29"/>
      <c r="G4" s="75"/>
      <c r="J4" s="29"/>
    </row>
    <row r="5" spans="1:15" s="30" customFormat="1" ht="12" customHeight="1">
      <c r="B5" s="27"/>
      <c r="C5" s="27"/>
      <c r="D5" s="29"/>
      <c r="E5" s="28"/>
      <c r="F5" s="29"/>
      <c r="G5" s="75"/>
      <c r="J5" s="29"/>
    </row>
    <row r="6" spans="1:15" s="55" customFormat="1" ht="9.75" customHeight="1">
      <c r="B6" s="124"/>
      <c r="C6" s="124"/>
      <c r="D6" s="265"/>
      <c r="E6" s="266"/>
      <c r="F6" s="265"/>
      <c r="G6" s="265"/>
      <c r="H6" s="267"/>
      <c r="I6" s="265"/>
      <c r="J6" s="123"/>
    </row>
    <row r="7" spans="1:15" s="55" customFormat="1" ht="15" customHeight="1">
      <c r="B7" s="70" t="s">
        <v>225</v>
      </c>
      <c r="C7" s="71" t="s">
        <v>226</v>
      </c>
      <c r="D7" s="124"/>
      <c r="E7" s="71"/>
      <c r="F7" s="71"/>
      <c r="G7" s="71"/>
      <c r="H7" s="71"/>
      <c r="I7" s="71"/>
      <c r="J7" s="71"/>
    </row>
    <row r="8" spans="1:15" s="72" customFormat="1" ht="15" customHeight="1">
      <c r="B8" s="73" t="s">
        <v>227</v>
      </c>
      <c r="C8" s="74" t="s">
        <v>228</v>
      </c>
      <c r="E8" s="74"/>
      <c r="F8" s="74"/>
      <c r="G8" s="74"/>
      <c r="H8" s="74"/>
      <c r="I8" s="74"/>
      <c r="J8" s="74"/>
    </row>
    <row r="9" spans="1:15" s="55" customFormat="1" ht="9.9499999999999993" customHeight="1" thickBot="1">
      <c r="B9" s="124"/>
      <c r="C9" s="124"/>
      <c r="D9" s="124"/>
      <c r="E9" s="70"/>
      <c r="F9" s="123"/>
      <c r="G9" s="123"/>
      <c r="H9" s="123"/>
      <c r="I9" s="265"/>
    </row>
    <row r="10" spans="1:15" s="55" customFormat="1" ht="9.9499999999999993" customHeight="1" thickTop="1">
      <c r="A10" s="268"/>
      <c r="B10" s="269"/>
      <c r="C10" s="269"/>
      <c r="D10" s="270"/>
      <c r="E10" s="271"/>
      <c r="F10" s="272"/>
      <c r="G10" s="272"/>
      <c r="H10" s="272"/>
      <c r="I10" s="273"/>
      <c r="J10" s="268"/>
    </row>
    <row r="11" spans="1:15" s="55" customFormat="1" ht="21" customHeight="1">
      <c r="A11" s="249"/>
      <c r="B11" s="274" t="s">
        <v>229</v>
      </c>
      <c r="C11" s="274"/>
      <c r="D11" s="253" t="s">
        <v>100</v>
      </c>
      <c r="E11" s="253" t="s">
        <v>95</v>
      </c>
      <c r="F11" s="275" t="s">
        <v>207</v>
      </c>
      <c r="G11" s="275" t="s">
        <v>208</v>
      </c>
      <c r="H11" s="275" t="s">
        <v>209</v>
      </c>
      <c r="I11" s="275" t="s">
        <v>210</v>
      </c>
      <c r="J11" s="276"/>
    </row>
    <row r="12" spans="1:15" s="55" customFormat="1" ht="15.75" customHeight="1">
      <c r="A12" s="277"/>
      <c r="B12" s="278"/>
      <c r="C12" s="278"/>
      <c r="D12" s="259"/>
      <c r="E12" s="259"/>
      <c r="F12" s="279"/>
      <c r="G12" s="279"/>
      <c r="H12" s="279"/>
      <c r="I12" s="279"/>
      <c r="J12" s="56"/>
    </row>
    <row r="13" spans="1:15" s="55" customFormat="1" ht="8.1" customHeight="1">
      <c r="A13" s="125"/>
      <c r="B13" s="243"/>
      <c r="C13" s="243"/>
      <c r="D13" s="99"/>
      <c r="E13" s="99"/>
      <c r="F13" s="280"/>
      <c r="G13" s="280"/>
      <c r="H13" s="280"/>
      <c r="I13" s="280"/>
      <c r="J13" s="95"/>
    </row>
    <row r="14" spans="1:15" s="125" customFormat="1" ht="12.95" customHeight="1">
      <c r="B14" s="118" t="s">
        <v>99</v>
      </c>
      <c r="C14" s="118"/>
      <c r="D14" s="69">
        <v>2015</v>
      </c>
      <c r="E14" s="174">
        <f>SUM(F14:I14)</f>
        <v>2413</v>
      </c>
      <c r="F14" s="174">
        <v>74</v>
      </c>
      <c r="G14" s="174">
        <v>265</v>
      </c>
      <c r="H14" s="174">
        <v>1424</v>
      </c>
      <c r="I14" s="174">
        <v>650</v>
      </c>
    </row>
    <row r="15" spans="1:15" s="125" customFormat="1" ht="12.95" customHeight="1">
      <c r="B15" s="118"/>
      <c r="C15" s="118"/>
      <c r="D15" s="69">
        <v>2016</v>
      </c>
      <c r="E15" s="174">
        <f>SUM(F15:I15)</f>
        <v>2820</v>
      </c>
      <c r="F15" s="174">
        <v>70</v>
      </c>
      <c r="G15" s="174">
        <v>274</v>
      </c>
      <c r="H15" s="174">
        <v>1768</v>
      </c>
      <c r="I15" s="174">
        <v>708</v>
      </c>
      <c r="K15" s="281"/>
      <c r="L15" s="281"/>
      <c r="M15" s="281"/>
      <c r="N15" s="281"/>
      <c r="O15" s="281"/>
    </row>
    <row r="16" spans="1:15" s="125" customFormat="1" ht="12.95" customHeight="1">
      <c r="B16" s="118"/>
      <c r="C16" s="118"/>
      <c r="D16" s="69">
        <v>2017</v>
      </c>
      <c r="E16" s="174">
        <f>E20+E24+E28+E32+E36+E40+E44+E48+E52+E56+E60+E64+E68+E72</f>
        <v>2578</v>
      </c>
      <c r="F16" s="174">
        <f>F24+F28+F32+F36+F40+F44+F48+F52+F56+F64+F68+F72</f>
        <v>66</v>
      </c>
      <c r="G16" s="174">
        <f>G20+G24+G28+G32+G36+G40+G44+G48+G52+G56+G64+G68+G72</f>
        <v>196</v>
      </c>
      <c r="H16" s="174">
        <f>H20+H24+H28+H32+H36+H40+H44+H48+H52+H56+H64+H68+H72</f>
        <v>1702</v>
      </c>
      <c r="I16" s="174">
        <f t="shared" ref="I16" si="0">I20+I24+I28+I32+I36+I40+I44+I48+I52+I56+I60+I64+I68+I72</f>
        <v>614</v>
      </c>
      <c r="K16" s="281"/>
      <c r="L16" s="281"/>
      <c r="M16" s="281"/>
      <c r="N16" s="281"/>
      <c r="O16" s="281"/>
    </row>
    <row r="17" spans="2:15" s="125" customFormat="1" ht="8.1" customHeight="1">
      <c r="B17" s="118"/>
      <c r="C17" s="118"/>
      <c r="D17" s="69"/>
      <c r="E17" s="174"/>
      <c r="F17" s="174"/>
      <c r="G17" s="174"/>
      <c r="H17" s="174"/>
      <c r="I17" s="174"/>
      <c r="K17" s="281"/>
      <c r="L17" s="281"/>
      <c r="M17" s="281"/>
      <c r="N17" s="281"/>
      <c r="O17" s="281"/>
    </row>
    <row r="18" spans="2:15" s="125" customFormat="1" ht="12.95" customHeight="1">
      <c r="B18" s="117" t="s">
        <v>2</v>
      </c>
      <c r="C18" s="117"/>
      <c r="D18" s="170">
        <v>2015</v>
      </c>
      <c r="E18" s="175">
        <f>SUM(F18:I18)</f>
        <v>195</v>
      </c>
      <c r="F18" s="175">
        <v>2</v>
      </c>
      <c r="G18" s="175">
        <v>35</v>
      </c>
      <c r="H18" s="175">
        <v>112</v>
      </c>
      <c r="I18" s="175">
        <v>46</v>
      </c>
      <c r="K18" s="281"/>
      <c r="L18" s="281"/>
      <c r="M18" s="281"/>
      <c r="N18" s="281"/>
      <c r="O18" s="281"/>
    </row>
    <row r="19" spans="2:15" s="125" customFormat="1" ht="12.95" customHeight="1">
      <c r="B19" s="117"/>
      <c r="C19" s="117"/>
      <c r="D19" s="170">
        <v>2016</v>
      </c>
      <c r="E19" s="175">
        <f>SUM(F19:I19)</f>
        <v>159</v>
      </c>
      <c r="F19" s="175">
        <v>6</v>
      </c>
      <c r="G19" s="175">
        <v>29</v>
      </c>
      <c r="H19" s="175">
        <v>85</v>
      </c>
      <c r="I19" s="175">
        <v>39</v>
      </c>
      <c r="K19" s="281"/>
      <c r="L19" s="281"/>
      <c r="M19" s="281"/>
      <c r="N19" s="281"/>
      <c r="O19" s="281"/>
    </row>
    <row r="20" spans="2:15" s="125" customFormat="1" ht="12.95" customHeight="1">
      <c r="B20" s="117"/>
      <c r="C20" s="117"/>
      <c r="D20" s="170">
        <v>2017</v>
      </c>
      <c r="E20" s="175">
        <f>SUM(F20:I20)</f>
        <v>123</v>
      </c>
      <c r="F20" s="173" t="s">
        <v>51</v>
      </c>
      <c r="G20" s="175">
        <v>23</v>
      </c>
      <c r="H20" s="175">
        <v>59</v>
      </c>
      <c r="I20" s="175">
        <v>41</v>
      </c>
      <c r="K20" s="281"/>
      <c r="L20" s="281"/>
      <c r="M20" s="281"/>
      <c r="N20" s="281"/>
      <c r="O20" s="281"/>
    </row>
    <row r="21" spans="2:15" s="125" customFormat="1" ht="8.1" customHeight="1">
      <c r="B21" s="117"/>
      <c r="C21" s="117"/>
      <c r="D21" s="170"/>
      <c r="E21" s="175"/>
      <c r="F21" s="173"/>
      <c r="G21" s="175"/>
      <c r="H21" s="175"/>
      <c r="I21" s="175"/>
      <c r="K21" s="281"/>
      <c r="L21" s="281"/>
      <c r="M21" s="281"/>
      <c r="N21" s="281"/>
      <c r="O21" s="281"/>
    </row>
    <row r="22" spans="2:15" s="282" customFormat="1" ht="12.95" customHeight="1">
      <c r="B22" s="117" t="s">
        <v>52</v>
      </c>
      <c r="C22" s="117"/>
      <c r="D22" s="170">
        <v>2015</v>
      </c>
      <c r="E22" s="173" t="s">
        <v>51</v>
      </c>
      <c r="F22" s="173" t="s">
        <v>51</v>
      </c>
      <c r="G22" s="173" t="s">
        <v>51</v>
      </c>
      <c r="H22" s="173" t="s">
        <v>51</v>
      </c>
      <c r="I22" s="173" t="s">
        <v>51</v>
      </c>
      <c r="J22" s="125"/>
      <c r="K22" s="125"/>
      <c r="L22" s="125"/>
    </row>
    <row r="23" spans="2:15" s="125" customFormat="1" ht="12.95" customHeight="1">
      <c r="B23" s="117"/>
      <c r="C23" s="117"/>
      <c r="D23" s="170">
        <v>2016</v>
      </c>
      <c r="E23" s="173" t="s">
        <v>51</v>
      </c>
      <c r="F23" s="173" t="s">
        <v>51</v>
      </c>
      <c r="G23" s="173" t="s">
        <v>51</v>
      </c>
      <c r="H23" s="173" t="s">
        <v>51</v>
      </c>
      <c r="I23" s="173" t="s">
        <v>51</v>
      </c>
    </row>
    <row r="24" spans="2:15" s="125" customFormat="1" ht="12.95" customHeight="1">
      <c r="B24" s="117"/>
      <c r="C24" s="117"/>
      <c r="D24" s="170">
        <v>2017</v>
      </c>
      <c r="E24" s="173">
        <f>SUM(F24:I24)</f>
        <v>195</v>
      </c>
      <c r="F24" s="173">
        <v>4</v>
      </c>
      <c r="G24" s="173">
        <v>9</v>
      </c>
      <c r="H24" s="173">
        <v>128</v>
      </c>
      <c r="I24" s="173">
        <v>54</v>
      </c>
    </row>
    <row r="25" spans="2:15" s="125" customFormat="1" ht="8.1" customHeight="1">
      <c r="B25" s="117"/>
      <c r="C25" s="117"/>
      <c r="D25" s="170"/>
      <c r="E25" s="173"/>
      <c r="F25" s="173"/>
      <c r="G25" s="173"/>
      <c r="H25" s="173"/>
      <c r="I25" s="173"/>
    </row>
    <row r="26" spans="2:15" s="125" customFormat="1" ht="12.95" customHeight="1">
      <c r="B26" s="117" t="s">
        <v>53</v>
      </c>
      <c r="C26" s="117"/>
      <c r="D26" s="170">
        <v>2015</v>
      </c>
      <c r="E26" s="175">
        <f>SUM(F26:I26)</f>
        <v>655</v>
      </c>
      <c r="F26" s="175">
        <v>14</v>
      </c>
      <c r="G26" s="175">
        <v>48</v>
      </c>
      <c r="H26" s="175">
        <v>438</v>
      </c>
      <c r="I26" s="175">
        <v>155</v>
      </c>
    </row>
    <row r="27" spans="2:15" s="125" customFormat="1" ht="12.95" customHeight="1">
      <c r="B27" s="117"/>
      <c r="C27" s="117"/>
      <c r="D27" s="170">
        <v>2016</v>
      </c>
      <c r="E27" s="175">
        <f>SUM(F27:I27)</f>
        <v>976</v>
      </c>
      <c r="F27" s="175">
        <v>15</v>
      </c>
      <c r="G27" s="175">
        <v>42</v>
      </c>
      <c r="H27" s="175">
        <v>719</v>
      </c>
      <c r="I27" s="175">
        <v>200</v>
      </c>
    </row>
    <row r="28" spans="2:15" s="125" customFormat="1" ht="12.95" customHeight="1">
      <c r="B28" s="117"/>
      <c r="C28" s="117"/>
      <c r="D28" s="170">
        <v>2017</v>
      </c>
      <c r="E28" s="175">
        <f>SUM(F28:I28)</f>
        <v>956</v>
      </c>
      <c r="F28" s="175">
        <v>23</v>
      </c>
      <c r="G28" s="175">
        <v>28</v>
      </c>
      <c r="H28" s="175">
        <v>735</v>
      </c>
      <c r="I28" s="175">
        <v>170</v>
      </c>
    </row>
    <row r="29" spans="2:15" s="125" customFormat="1" ht="8.1" customHeight="1">
      <c r="B29" s="117"/>
      <c r="C29" s="117"/>
      <c r="D29" s="170"/>
      <c r="E29" s="175"/>
      <c r="F29" s="175"/>
      <c r="G29" s="175"/>
      <c r="H29" s="175"/>
      <c r="I29" s="175"/>
    </row>
    <row r="30" spans="2:15" s="125" customFormat="1" ht="12.95" customHeight="1">
      <c r="B30" s="117" t="s">
        <v>54</v>
      </c>
      <c r="C30" s="117"/>
      <c r="D30" s="170">
        <v>2015</v>
      </c>
      <c r="E30" s="173">
        <f>SUM(F30:I30)</f>
        <v>377</v>
      </c>
      <c r="F30" s="173">
        <v>6</v>
      </c>
      <c r="G30" s="173">
        <v>25</v>
      </c>
      <c r="H30" s="173">
        <v>233</v>
      </c>
      <c r="I30" s="173">
        <v>113</v>
      </c>
    </row>
    <row r="31" spans="2:15" s="125" customFormat="1" ht="12.95" customHeight="1">
      <c r="B31" s="117"/>
      <c r="C31" s="117"/>
      <c r="D31" s="170">
        <v>2016</v>
      </c>
      <c r="E31" s="173">
        <f>SUM(F31:I31)</f>
        <v>527</v>
      </c>
      <c r="F31" s="173">
        <v>7</v>
      </c>
      <c r="G31" s="173">
        <v>23</v>
      </c>
      <c r="H31" s="173">
        <v>368</v>
      </c>
      <c r="I31" s="173">
        <v>129</v>
      </c>
    </row>
    <row r="32" spans="2:15" s="125" customFormat="1" ht="12.95" customHeight="1">
      <c r="B32" s="117"/>
      <c r="C32" s="117"/>
      <c r="D32" s="170">
        <v>2017</v>
      </c>
      <c r="E32" s="173">
        <f>SUM(F32:I32)</f>
        <v>412</v>
      </c>
      <c r="F32" s="173">
        <v>8</v>
      </c>
      <c r="G32" s="173">
        <v>16</v>
      </c>
      <c r="H32" s="173">
        <v>292</v>
      </c>
      <c r="I32" s="173">
        <v>96</v>
      </c>
    </row>
    <row r="33" spans="2:9" s="125" customFormat="1" ht="8.1" customHeight="1">
      <c r="B33" s="117"/>
      <c r="C33" s="117"/>
      <c r="D33" s="170"/>
      <c r="E33" s="173"/>
      <c r="F33" s="173"/>
      <c r="G33" s="173"/>
      <c r="H33" s="173"/>
      <c r="I33" s="173"/>
    </row>
    <row r="34" spans="2:9" s="125" customFormat="1" ht="12.95" customHeight="1">
      <c r="B34" s="117" t="s">
        <v>3</v>
      </c>
      <c r="C34" s="117"/>
      <c r="D34" s="170">
        <v>2015</v>
      </c>
      <c r="E34" s="175">
        <f>SUM(F34:I34)</f>
        <v>160</v>
      </c>
      <c r="F34" s="175">
        <v>10</v>
      </c>
      <c r="G34" s="175">
        <v>27</v>
      </c>
      <c r="H34" s="175">
        <v>51</v>
      </c>
      <c r="I34" s="175">
        <v>72</v>
      </c>
    </row>
    <row r="35" spans="2:9" s="125" customFormat="1" ht="12.95" customHeight="1">
      <c r="B35" s="117"/>
      <c r="C35" s="117"/>
      <c r="D35" s="170">
        <v>2016</v>
      </c>
      <c r="E35" s="175">
        <f>SUM(F35:I35)</f>
        <v>158</v>
      </c>
      <c r="F35" s="175">
        <v>4</v>
      </c>
      <c r="G35" s="175">
        <v>37</v>
      </c>
      <c r="H35" s="175">
        <v>59</v>
      </c>
      <c r="I35" s="175">
        <v>58</v>
      </c>
    </row>
    <row r="36" spans="2:9" s="125" customFormat="1" ht="12.95" customHeight="1">
      <c r="B36" s="117"/>
      <c r="C36" s="117"/>
      <c r="D36" s="170">
        <v>2017</v>
      </c>
      <c r="E36" s="175">
        <f>SUM(F36:I36)</f>
        <v>117</v>
      </c>
      <c r="F36" s="175">
        <v>1</v>
      </c>
      <c r="G36" s="175">
        <v>24</v>
      </c>
      <c r="H36" s="175">
        <v>47</v>
      </c>
      <c r="I36" s="175">
        <v>45</v>
      </c>
    </row>
    <row r="37" spans="2:9" s="125" customFormat="1" ht="8.1" customHeight="1">
      <c r="B37" s="117"/>
      <c r="C37" s="117"/>
      <c r="D37" s="170"/>
      <c r="E37" s="175"/>
      <c r="F37" s="175"/>
      <c r="G37" s="175"/>
      <c r="H37" s="175"/>
      <c r="I37" s="175"/>
    </row>
    <row r="38" spans="2:9" s="125" customFormat="1" ht="12.95" customHeight="1">
      <c r="B38" s="117" t="s">
        <v>4</v>
      </c>
      <c r="C38" s="117"/>
      <c r="D38" s="170">
        <v>2015</v>
      </c>
      <c r="E38" s="173">
        <f>SUM(F38:I38)</f>
        <v>86</v>
      </c>
      <c r="F38" s="173">
        <v>3</v>
      </c>
      <c r="G38" s="173">
        <v>22</v>
      </c>
      <c r="H38" s="173">
        <v>49</v>
      </c>
      <c r="I38" s="173">
        <v>12</v>
      </c>
    </row>
    <row r="39" spans="2:9" s="125" customFormat="1" ht="12.95" customHeight="1">
      <c r="B39" s="117"/>
      <c r="C39" s="117"/>
      <c r="D39" s="170">
        <v>2016</v>
      </c>
      <c r="E39" s="173">
        <f>SUM(F39:I39)</f>
        <v>109</v>
      </c>
      <c r="F39" s="173">
        <v>8</v>
      </c>
      <c r="G39" s="173">
        <v>19</v>
      </c>
      <c r="H39" s="173">
        <v>71</v>
      </c>
      <c r="I39" s="173">
        <v>11</v>
      </c>
    </row>
    <row r="40" spans="2:9" s="125" customFormat="1" ht="12.95" customHeight="1">
      <c r="B40" s="117"/>
      <c r="C40" s="117"/>
      <c r="D40" s="170">
        <v>2017</v>
      </c>
      <c r="E40" s="173">
        <f>SUM(F40:I40)</f>
        <v>89</v>
      </c>
      <c r="F40" s="173">
        <v>7</v>
      </c>
      <c r="G40" s="173">
        <v>13</v>
      </c>
      <c r="H40" s="173">
        <v>48</v>
      </c>
      <c r="I40" s="173">
        <v>21</v>
      </c>
    </row>
    <row r="41" spans="2:9" s="125" customFormat="1" ht="8.1" customHeight="1">
      <c r="B41" s="117"/>
      <c r="C41" s="117"/>
      <c r="D41" s="170"/>
      <c r="E41" s="173"/>
      <c r="F41" s="173"/>
      <c r="G41" s="173"/>
      <c r="H41" s="173"/>
      <c r="I41" s="173"/>
    </row>
    <row r="42" spans="2:9" s="125" customFormat="1" ht="12.95" customHeight="1">
      <c r="B42" s="117" t="s">
        <v>9</v>
      </c>
      <c r="C42" s="117"/>
      <c r="D42" s="170">
        <v>2015</v>
      </c>
      <c r="E42" s="175">
        <f>SUM(F42:I42)</f>
        <v>143</v>
      </c>
      <c r="F42" s="175">
        <v>7</v>
      </c>
      <c r="G42" s="175">
        <v>15</v>
      </c>
      <c r="H42" s="175">
        <v>88</v>
      </c>
      <c r="I42" s="175">
        <v>33</v>
      </c>
    </row>
    <row r="43" spans="2:9" s="125" customFormat="1" ht="12.95" customHeight="1">
      <c r="B43" s="117"/>
      <c r="C43" s="117"/>
      <c r="D43" s="170">
        <v>2016</v>
      </c>
      <c r="E43" s="175">
        <f>SUM(F43:I43)</f>
        <v>156</v>
      </c>
      <c r="F43" s="175">
        <v>7</v>
      </c>
      <c r="G43" s="175">
        <v>4</v>
      </c>
      <c r="H43" s="175">
        <v>98</v>
      </c>
      <c r="I43" s="175">
        <v>47</v>
      </c>
    </row>
    <row r="44" spans="2:9" s="125" customFormat="1" ht="12.95" customHeight="1">
      <c r="B44" s="117"/>
      <c r="C44" s="117"/>
      <c r="D44" s="170">
        <v>2017</v>
      </c>
      <c r="E44" s="175">
        <f>SUM(F44:I44)</f>
        <v>209</v>
      </c>
      <c r="F44" s="175">
        <v>6</v>
      </c>
      <c r="G44" s="175">
        <v>11</v>
      </c>
      <c r="H44" s="175">
        <v>139</v>
      </c>
      <c r="I44" s="175">
        <v>53</v>
      </c>
    </row>
    <row r="45" spans="2:9" s="125" customFormat="1" ht="8.1" customHeight="1">
      <c r="B45" s="117"/>
      <c r="C45" s="117"/>
      <c r="D45" s="170"/>
      <c r="E45" s="175"/>
      <c r="F45" s="175"/>
      <c r="G45" s="175"/>
      <c r="H45" s="175"/>
      <c r="I45" s="175"/>
    </row>
    <row r="46" spans="2:9" s="125" customFormat="1" ht="12.95" customHeight="1">
      <c r="B46" s="117" t="s">
        <v>10</v>
      </c>
      <c r="C46" s="117"/>
      <c r="D46" s="170">
        <v>2015</v>
      </c>
      <c r="E46" s="173">
        <f>SUM(F46:I46)</f>
        <v>82</v>
      </c>
      <c r="F46" s="173">
        <v>1</v>
      </c>
      <c r="G46" s="173">
        <v>12</v>
      </c>
      <c r="H46" s="173">
        <v>45</v>
      </c>
      <c r="I46" s="173">
        <v>24</v>
      </c>
    </row>
    <row r="47" spans="2:9" s="125" customFormat="1" ht="12.95" customHeight="1">
      <c r="B47" s="117"/>
      <c r="C47" s="117"/>
      <c r="D47" s="170">
        <v>2016</v>
      </c>
      <c r="E47" s="173">
        <f>SUM(F47:I47)</f>
        <v>50</v>
      </c>
      <c r="F47" s="173">
        <v>1</v>
      </c>
      <c r="G47" s="173">
        <v>12</v>
      </c>
      <c r="H47" s="173">
        <v>20</v>
      </c>
      <c r="I47" s="173">
        <v>17</v>
      </c>
    </row>
    <row r="48" spans="2:9" s="125" customFormat="1" ht="12.95" customHeight="1">
      <c r="B48" s="117"/>
      <c r="C48" s="117"/>
      <c r="D48" s="170">
        <v>2017</v>
      </c>
      <c r="E48" s="173">
        <f>SUM(F48:I48)</f>
        <v>44</v>
      </c>
      <c r="F48" s="173">
        <v>1</v>
      </c>
      <c r="G48" s="173">
        <v>8</v>
      </c>
      <c r="H48" s="173">
        <v>25</v>
      </c>
      <c r="I48" s="173">
        <v>10</v>
      </c>
    </row>
    <row r="49" spans="2:15" s="125" customFormat="1" ht="8.1" customHeight="1">
      <c r="B49" s="117"/>
      <c r="C49" s="117"/>
      <c r="D49" s="170"/>
      <c r="E49" s="173"/>
      <c r="F49" s="173"/>
      <c r="G49" s="173"/>
      <c r="H49" s="173"/>
      <c r="I49" s="173"/>
    </row>
    <row r="50" spans="2:15" s="125" customFormat="1" ht="12.95" customHeight="1">
      <c r="B50" s="117" t="s">
        <v>5</v>
      </c>
      <c r="C50" s="117"/>
      <c r="D50" s="170">
        <v>2015</v>
      </c>
      <c r="E50" s="175">
        <f>SUM(F50:I50)</f>
        <v>47</v>
      </c>
      <c r="F50" s="175">
        <v>1</v>
      </c>
      <c r="G50" s="175">
        <v>13</v>
      </c>
      <c r="H50" s="175">
        <v>24</v>
      </c>
      <c r="I50" s="175">
        <v>9</v>
      </c>
    </row>
    <row r="51" spans="2:15" s="125" customFormat="1" ht="12.95" customHeight="1">
      <c r="B51" s="117"/>
      <c r="C51" s="117"/>
      <c r="D51" s="170">
        <v>2016</v>
      </c>
      <c r="E51" s="175">
        <f>SUM(F51:I51)</f>
        <v>42</v>
      </c>
      <c r="F51" s="175">
        <v>1</v>
      </c>
      <c r="G51" s="175">
        <v>9</v>
      </c>
      <c r="H51" s="175">
        <v>25</v>
      </c>
      <c r="I51" s="175">
        <v>7</v>
      </c>
    </row>
    <row r="52" spans="2:15" s="125" customFormat="1" ht="12.95" customHeight="1">
      <c r="B52" s="117"/>
      <c r="C52" s="117"/>
      <c r="D52" s="170">
        <v>2017</v>
      </c>
      <c r="E52" s="175">
        <f>SUM(F52:I52)</f>
        <v>31</v>
      </c>
      <c r="F52" s="175">
        <v>1</v>
      </c>
      <c r="G52" s="175">
        <v>6</v>
      </c>
      <c r="H52" s="175">
        <v>12</v>
      </c>
      <c r="I52" s="175">
        <v>12</v>
      </c>
    </row>
    <row r="53" spans="2:15" s="125" customFormat="1" ht="8.1" customHeight="1">
      <c r="B53" s="117"/>
      <c r="C53" s="117"/>
      <c r="D53" s="170"/>
      <c r="E53" s="175"/>
      <c r="F53" s="175"/>
      <c r="G53" s="175"/>
      <c r="H53" s="175"/>
      <c r="I53" s="175"/>
    </row>
    <row r="54" spans="2:15" s="125" customFormat="1" ht="12.95" customHeight="1">
      <c r="B54" s="117" t="s">
        <v>6</v>
      </c>
      <c r="C54" s="117"/>
      <c r="D54" s="170">
        <v>2015</v>
      </c>
      <c r="E54" s="173">
        <f>SUM(F54:I54)</f>
        <v>61</v>
      </c>
      <c r="F54" s="173">
        <v>5</v>
      </c>
      <c r="G54" s="173">
        <v>5</v>
      </c>
      <c r="H54" s="173">
        <v>22</v>
      </c>
      <c r="I54" s="173">
        <v>29</v>
      </c>
      <c r="K54" s="281"/>
      <c r="L54" s="281"/>
      <c r="M54" s="281"/>
      <c r="N54" s="281"/>
      <c r="O54" s="281"/>
    </row>
    <row r="55" spans="2:15" s="125" customFormat="1" ht="12.95" customHeight="1">
      <c r="B55" s="117"/>
      <c r="C55" s="117"/>
      <c r="D55" s="170">
        <v>2016</v>
      </c>
      <c r="E55" s="173">
        <f>SUM(F55:I55)</f>
        <v>56</v>
      </c>
      <c r="F55" s="173">
        <v>7</v>
      </c>
      <c r="G55" s="173">
        <v>12</v>
      </c>
      <c r="H55" s="173">
        <v>18</v>
      </c>
      <c r="I55" s="173">
        <v>19</v>
      </c>
      <c r="K55" s="281"/>
      <c r="L55" s="281"/>
      <c r="M55" s="281"/>
      <c r="N55" s="281"/>
      <c r="O55" s="281"/>
    </row>
    <row r="56" spans="2:15" s="125" customFormat="1" ht="12.95" customHeight="1">
      <c r="B56" s="117"/>
      <c r="C56" s="117"/>
      <c r="D56" s="170">
        <v>2017</v>
      </c>
      <c r="E56" s="173">
        <f>SUM(F56:I56)</f>
        <v>64</v>
      </c>
      <c r="F56" s="173">
        <v>2</v>
      </c>
      <c r="G56" s="173">
        <v>12</v>
      </c>
      <c r="H56" s="173">
        <v>31</v>
      </c>
      <c r="I56" s="173">
        <v>19</v>
      </c>
      <c r="K56" s="281"/>
      <c r="L56" s="281"/>
      <c r="M56" s="281"/>
      <c r="N56" s="281"/>
      <c r="O56" s="281"/>
    </row>
    <row r="57" spans="2:15" s="125" customFormat="1" ht="8.1" customHeight="1">
      <c r="B57" s="117"/>
      <c r="C57" s="117"/>
      <c r="D57" s="170"/>
      <c r="E57" s="173"/>
      <c r="F57" s="173"/>
      <c r="G57" s="173"/>
      <c r="H57" s="173"/>
      <c r="I57" s="173"/>
      <c r="K57" s="281"/>
      <c r="L57" s="281"/>
      <c r="M57" s="281"/>
      <c r="N57" s="281"/>
      <c r="O57" s="281"/>
    </row>
    <row r="58" spans="2:15" s="125" customFormat="1" ht="12.95" customHeight="1">
      <c r="B58" s="117" t="s">
        <v>55</v>
      </c>
      <c r="C58" s="117"/>
      <c r="D58" s="170">
        <v>2015</v>
      </c>
      <c r="E58" s="175">
        <f>SUM(F58:I58)</f>
        <v>197</v>
      </c>
      <c r="F58" s="175">
        <v>6</v>
      </c>
      <c r="G58" s="175">
        <v>13</v>
      </c>
      <c r="H58" s="175">
        <v>131</v>
      </c>
      <c r="I58" s="175">
        <v>47</v>
      </c>
      <c r="K58" s="281"/>
      <c r="L58" s="281"/>
      <c r="M58" s="281"/>
      <c r="N58" s="281"/>
      <c r="O58" s="281"/>
    </row>
    <row r="59" spans="2:15" s="125" customFormat="1" ht="12.95" customHeight="1">
      <c r="B59" s="117"/>
      <c r="C59" s="117"/>
      <c r="D59" s="170">
        <v>2016</v>
      </c>
      <c r="E59" s="175">
        <f>SUM(F59:I59)</f>
        <v>194</v>
      </c>
      <c r="F59" s="175">
        <v>3</v>
      </c>
      <c r="G59" s="175">
        <v>21</v>
      </c>
      <c r="H59" s="175">
        <v>97</v>
      </c>
      <c r="I59" s="175">
        <v>73</v>
      </c>
      <c r="K59" s="281"/>
      <c r="L59" s="281"/>
      <c r="M59" s="281"/>
      <c r="N59" s="281"/>
      <c r="O59" s="281"/>
    </row>
    <row r="60" spans="2:15" s="125" customFormat="1" ht="12.95" customHeight="1">
      <c r="B60" s="117"/>
      <c r="C60" s="117"/>
      <c r="D60" s="170">
        <v>2017</v>
      </c>
      <c r="E60" s="173">
        <f>SUM(F60:I60)</f>
        <v>1</v>
      </c>
      <c r="F60" s="173" t="s">
        <v>51</v>
      </c>
      <c r="G60" s="173" t="s">
        <v>51</v>
      </c>
      <c r="H60" s="173" t="s">
        <v>51</v>
      </c>
      <c r="I60" s="173">
        <v>1</v>
      </c>
      <c r="K60" s="281"/>
      <c r="L60" s="281"/>
      <c r="M60" s="281"/>
      <c r="N60" s="281"/>
      <c r="O60" s="281"/>
    </row>
    <row r="61" spans="2:15" s="125" customFormat="1" ht="8.1" customHeight="1">
      <c r="B61" s="117"/>
      <c r="C61" s="117"/>
      <c r="D61" s="170"/>
      <c r="E61" s="173"/>
      <c r="F61" s="173"/>
      <c r="G61" s="173"/>
      <c r="H61" s="173"/>
      <c r="I61" s="173"/>
      <c r="K61" s="281"/>
      <c r="L61" s="281"/>
      <c r="M61" s="281"/>
      <c r="N61" s="281"/>
      <c r="O61" s="281"/>
    </row>
    <row r="62" spans="2:15" s="125" customFormat="1" ht="12.95" customHeight="1">
      <c r="B62" s="117" t="s">
        <v>7</v>
      </c>
      <c r="C62" s="117"/>
      <c r="D62" s="170">
        <v>2015</v>
      </c>
      <c r="E62" s="173">
        <f>SUM(F62:I62)</f>
        <v>57</v>
      </c>
      <c r="F62" s="173">
        <v>1</v>
      </c>
      <c r="G62" s="173">
        <v>13</v>
      </c>
      <c r="H62" s="173">
        <v>21</v>
      </c>
      <c r="I62" s="173">
        <v>22</v>
      </c>
      <c r="K62" s="281"/>
      <c r="L62" s="281"/>
      <c r="M62" s="281"/>
      <c r="N62" s="281"/>
      <c r="O62" s="281"/>
    </row>
    <row r="63" spans="2:15" s="125" customFormat="1" ht="12.95" customHeight="1">
      <c r="B63" s="117"/>
      <c r="C63" s="117"/>
      <c r="D63" s="170">
        <v>2016</v>
      </c>
      <c r="E63" s="173">
        <f>SUM(F63:I63)</f>
        <v>63</v>
      </c>
      <c r="F63" s="173">
        <v>2</v>
      </c>
      <c r="G63" s="173">
        <v>23</v>
      </c>
      <c r="H63" s="173">
        <v>17</v>
      </c>
      <c r="I63" s="173">
        <v>21</v>
      </c>
      <c r="K63" s="281"/>
      <c r="L63" s="281"/>
      <c r="M63" s="281"/>
      <c r="N63" s="281"/>
      <c r="O63" s="281"/>
    </row>
    <row r="64" spans="2:15" s="125" customFormat="1" ht="12.95" customHeight="1">
      <c r="B64" s="117"/>
      <c r="C64" s="117"/>
      <c r="D64" s="170">
        <v>2017</v>
      </c>
      <c r="E64" s="173">
        <f>SUM(F64:I64)</f>
        <v>39</v>
      </c>
      <c r="F64" s="173">
        <v>4</v>
      </c>
      <c r="G64" s="173">
        <v>2</v>
      </c>
      <c r="H64" s="173">
        <v>25</v>
      </c>
      <c r="I64" s="173">
        <v>8</v>
      </c>
      <c r="K64" s="281"/>
      <c r="L64" s="281"/>
      <c r="M64" s="281"/>
      <c r="N64" s="281"/>
      <c r="O64" s="281"/>
    </row>
    <row r="65" spans="1:15" s="125" customFormat="1" ht="8.1" customHeight="1">
      <c r="B65" s="117"/>
      <c r="C65" s="117"/>
      <c r="D65" s="170"/>
      <c r="E65" s="173"/>
      <c r="F65" s="173"/>
      <c r="G65" s="173"/>
      <c r="H65" s="173"/>
      <c r="I65" s="173"/>
      <c r="K65" s="281"/>
      <c r="L65" s="281"/>
      <c r="M65" s="281"/>
      <c r="N65" s="281"/>
      <c r="O65" s="281"/>
    </row>
    <row r="66" spans="1:15" s="125" customFormat="1" ht="12.95" customHeight="1">
      <c r="B66" s="117" t="s">
        <v>8</v>
      </c>
      <c r="C66" s="117"/>
      <c r="D66" s="170">
        <v>2015</v>
      </c>
      <c r="E66" s="175">
        <f>SUM(F66:I66)</f>
        <v>49</v>
      </c>
      <c r="F66" s="175">
        <v>1</v>
      </c>
      <c r="G66" s="175">
        <v>8</v>
      </c>
      <c r="H66" s="175">
        <v>29</v>
      </c>
      <c r="I66" s="175">
        <v>11</v>
      </c>
    </row>
    <row r="67" spans="1:15" s="125" customFormat="1" ht="12.95" customHeight="1">
      <c r="B67" s="117"/>
      <c r="C67" s="117"/>
      <c r="D67" s="170">
        <v>2016</v>
      </c>
      <c r="E67" s="175">
        <f>SUM(F67:I67)</f>
        <v>57</v>
      </c>
      <c r="F67" s="175">
        <v>1</v>
      </c>
      <c r="G67" s="175">
        <v>11</v>
      </c>
      <c r="H67" s="175">
        <v>26</v>
      </c>
      <c r="I67" s="175">
        <v>19</v>
      </c>
    </row>
    <row r="68" spans="1:15" s="125" customFormat="1" ht="12.95" customHeight="1">
      <c r="B68" s="117"/>
      <c r="C68" s="117"/>
      <c r="D68" s="170">
        <v>2017</v>
      </c>
      <c r="E68" s="175">
        <f>SUM(F68:I68)</f>
        <v>45</v>
      </c>
      <c r="F68" s="175">
        <v>2</v>
      </c>
      <c r="G68" s="175">
        <v>4</v>
      </c>
      <c r="H68" s="175">
        <v>24</v>
      </c>
      <c r="I68" s="175">
        <v>15</v>
      </c>
    </row>
    <row r="69" spans="1:15" s="125" customFormat="1" ht="8.1" customHeight="1">
      <c r="B69" s="117"/>
      <c r="C69" s="117"/>
      <c r="D69" s="170"/>
      <c r="E69" s="175"/>
      <c r="F69" s="175"/>
      <c r="G69" s="175"/>
      <c r="H69" s="175"/>
      <c r="I69" s="175"/>
    </row>
    <row r="70" spans="1:15" s="125" customFormat="1" ht="12.95" customHeight="1">
      <c r="B70" s="117" t="s">
        <v>56</v>
      </c>
      <c r="C70" s="117"/>
      <c r="D70" s="170">
        <v>2015</v>
      </c>
      <c r="E70" s="175">
        <f>SUM(F70:I70)</f>
        <v>304</v>
      </c>
      <c r="F70" s="175">
        <v>17</v>
      </c>
      <c r="G70" s="175">
        <v>29</v>
      </c>
      <c r="H70" s="175">
        <v>181</v>
      </c>
      <c r="I70" s="175">
        <v>77</v>
      </c>
    </row>
    <row r="71" spans="1:15" s="125" customFormat="1" ht="12.95" customHeight="1">
      <c r="B71" s="117"/>
      <c r="C71" s="117"/>
      <c r="D71" s="170">
        <v>2016</v>
      </c>
      <c r="E71" s="175">
        <f>SUM(F71:I71)</f>
        <v>273</v>
      </c>
      <c r="F71" s="175">
        <v>8</v>
      </c>
      <c r="G71" s="175">
        <v>32</v>
      </c>
      <c r="H71" s="175">
        <v>165</v>
      </c>
      <c r="I71" s="175">
        <v>68</v>
      </c>
    </row>
    <row r="72" spans="1:15" s="125" customFormat="1" ht="12.95" customHeight="1">
      <c r="B72" s="117"/>
      <c r="C72" s="117"/>
      <c r="D72" s="170">
        <v>2017</v>
      </c>
      <c r="E72" s="175">
        <f>SUM(F72:I72)</f>
        <v>253</v>
      </c>
      <c r="F72" s="175">
        <v>7</v>
      </c>
      <c r="G72" s="175">
        <v>40</v>
      </c>
      <c r="H72" s="175">
        <v>137</v>
      </c>
      <c r="I72" s="175">
        <v>69</v>
      </c>
    </row>
    <row r="73" spans="1:15" s="55" customFormat="1" ht="8.1" customHeight="1" thickBot="1">
      <c r="A73" s="283"/>
      <c r="B73" s="284"/>
      <c r="C73" s="284"/>
      <c r="D73" s="284"/>
      <c r="E73" s="285"/>
      <c r="F73" s="286"/>
      <c r="G73" s="286"/>
      <c r="H73" s="286"/>
      <c r="I73" s="287"/>
      <c r="J73" s="283"/>
    </row>
    <row r="74" spans="1:15" s="55" customFormat="1" ht="12.75">
      <c r="B74" s="124"/>
      <c r="C74" s="124"/>
      <c r="D74" s="124"/>
      <c r="E74" s="70"/>
      <c r="F74" s="123"/>
      <c r="G74" s="123"/>
      <c r="H74" s="123"/>
      <c r="I74" s="265"/>
      <c r="J74" s="8" t="s">
        <v>104</v>
      </c>
    </row>
    <row r="75" spans="1:15" s="55" customFormat="1" ht="12.75">
      <c r="B75" s="124"/>
      <c r="C75" s="124"/>
      <c r="D75" s="124"/>
      <c r="E75" s="70"/>
      <c r="F75" s="123"/>
      <c r="G75" s="123"/>
      <c r="H75" s="123"/>
      <c r="I75" s="265"/>
      <c r="J75" s="41" t="s">
        <v>1</v>
      </c>
    </row>
    <row r="76" spans="1:15" s="55" customFormat="1" ht="12.75">
      <c r="B76" s="124"/>
      <c r="C76" s="124"/>
      <c r="D76" s="124"/>
      <c r="E76" s="70"/>
      <c r="F76" s="123"/>
      <c r="G76" s="123"/>
      <c r="H76" s="123"/>
      <c r="I76" s="265"/>
    </row>
  </sheetData>
  <mergeCells count="7">
    <mergeCell ref="I11:I12"/>
    <mergeCell ref="B11:C12"/>
    <mergeCell ref="D11:D12"/>
    <mergeCell ref="E11:E12"/>
    <mergeCell ref="F11:F12"/>
    <mergeCell ref="G11:G12"/>
    <mergeCell ref="H11:H12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7" fitToWidth="0" orientation="portrait" r:id="rId1"/>
  <headerFooter>
    <oddHeader xml:space="preserve">&amp;R&amp;"-,Bold"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63"/>
  <sheetViews>
    <sheetView showGridLines="0" topLeftCell="A16" zoomScale="90" zoomScaleNormal="90" zoomScaleSheetLayoutView="100" workbookViewId="0">
      <selection activeCell="O30" sqref="O30"/>
    </sheetView>
  </sheetViews>
  <sheetFormatPr defaultRowHeight="15"/>
  <cols>
    <col min="1" max="1" width="1.85546875" style="2" customWidth="1"/>
    <col min="2" max="2" width="10" style="3" customWidth="1"/>
    <col min="3" max="3" width="8.5703125" style="3" customWidth="1"/>
    <col min="4" max="4" width="11.28515625" style="3" customWidth="1"/>
    <col min="5" max="5" width="12.42578125" style="21" customWidth="1"/>
    <col min="6" max="8" width="12.42578125" style="22" customWidth="1"/>
    <col min="9" max="9" width="17.42578125" style="5" customWidth="1"/>
    <col min="10" max="10" width="0.85546875" style="2" customWidth="1"/>
    <col min="11" max="16384" width="9.140625" style="2"/>
  </cols>
  <sheetData>
    <row r="1" spans="1:10" ht="9.9499999999999993" customHeight="1">
      <c r="B1" s="3" t="s">
        <v>224</v>
      </c>
    </row>
    <row r="2" spans="1:10" s="30" customFormat="1" ht="12.95" customHeight="1">
      <c r="B2" s="27"/>
      <c r="C2" s="27"/>
      <c r="D2" s="29"/>
      <c r="E2" s="28"/>
      <c r="F2" s="29"/>
      <c r="I2" s="199" t="s">
        <v>188</v>
      </c>
      <c r="J2" s="29"/>
    </row>
    <row r="3" spans="1:10" s="30" customFormat="1" ht="12.95" customHeight="1">
      <c r="B3" s="27"/>
      <c r="C3" s="27"/>
      <c r="D3" s="29"/>
      <c r="E3" s="28"/>
      <c r="F3" s="29"/>
      <c r="I3" s="75" t="s">
        <v>189</v>
      </c>
      <c r="J3" s="29"/>
    </row>
    <row r="4" spans="1:10" s="30" customFormat="1" ht="12" customHeight="1">
      <c r="B4" s="27"/>
      <c r="C4" s="27"/>
      <c r="D4" s="29"/>
      <c r="E4" s="28"/>
      <c r="F4" s="29"/>
      <c r="G4" s="75"/>
      <c r="J4" s="29"/>
    </row>
    <row r="5" spans="1:10" s="30" customFormat="1" ht="12" customHeight="1">
      <c r="B5" s="27"/>
      <c r="C5" s="27"/>
      <c r="D5" s="29"/>
      <c r="E5" s="28"/>
      <c r="F5" s="29"/>
      <c r="G5" s="75"/>
      <c r="J5" s="29"/>
    </row>
    <row r="6" spans="1:10" s="55" customFormat="1" ht="9.75" customHeight="1">
      <c r="B6" s="124"/>
      <c r="C6" s="124"/>
      <c r="D6" s="265"/>
      <c r="E6" s="266"/>
      <c r="F6" s="265"/>
      <c r="G6" s="265"/>
      <c r="H6" s="267"/>
      <c r="I6" s="265"/>
      <c r="J6" s="123"/>
    </row>
    <row r="7" spans="1:10" s="55" customFormat="1" ht="15" customHeight="1">
      <c r="B7" s="88" t="s">
        <v>225</v>
      </c>
      <c r="C7" s="71" t="s">
        <v>230</v>
      </c>
      <c r="D7" s="124"/>
      <c r="E7" s="71"/>
      <c r="F7" s="71"/>
      <c r="G7" s="71"/>
      <c r="H7" s="71"/>
      <c r="I7" s="71"/>
      <c r="J7" s="71"/>
    </row>
    <row r="8" spans="1:10" s="72" customFormat="1" ht="15" customHeight="1">
      <c r="B8" s="89" t="s">
        <v>227</v>
      </c>
      <c r="C8" s="74" t="s">
        <v>231</v>
      </c>
      <c r="E8" s="74"/>
      <c r="F8" s="74"/>
      <c r="G8" s="74"/>
      <c r="H8" s="74"/>
      <c r="I8" s="74"/>
      <c r="J8" s="74"/>
    </row>
    <row r="9" spans="1:10" s="55" customFormat="1" ht="9.9499999999999993" customHeight="1" thickBot="1">
      <c r="B9" s="124"/>
      <c r="C9" s="124"/>
      <c r="D9" s="124"/>
      <c r="E9" s="70"/>
      <c r="F9" s="123"/>
      <c r="G9" s="123"/>
      <c r="H9" s="123"/>
      <c r="I9" s="265"/>
    </row>
    <row r="10" spans="1:10" s="55" customFormat="1" ht="9.9499999999999993" customHeight="1" thickTop="1">
      <c r="A10" s="268"/>
      <c r="B10" s="269"/>
      <c r="C10" s="269"/>
      <c r="D10" s="270"/>
      <c r="E10" s="271"/>
      <c r="F10" s="272"/>
      <c r="G10" s="272"/>
      <c r="H10" s="272"/>
      <c r="I10" s="273"/>
      <c r="J10" s="268"/>
    </row>
    <row r="11" spans="1:10" s="55" customFormat="1" ht="21" customHeight="1">
      <c r="A11" s="249"/>
      <c r="B11" s="274" t="s">
        <v>229</v>
      </c>
      <c r="C11" s="274"/>
      <c r="D11" s="253" t="s">
        <v>100</v>
      </c>
      <c r="E11" s="253" t="s">
        <v>95</v>
      </c>
      <c r="F11" s="275" t="s">
        <v>207</v>
      </c>
      <c r="G11" s="275" t="s">
        <v>208</v>
      </c>
      <c r="H11" s="275" t="s">
        <v>209</v>
      </c>
      <c r="I11" s="275" t="s">
        <v>210</v>
      </c>
      <c r="J11" s="276"/>
    </row>
    <row r="12" spans="1:10" s="55" customFormat="1" ht="15.75" customHeight="1">
      <c r="A12" s="277"/>
      <c r="B12" s="278"/>
      <c r="C12" s="278"/>
      <c r="D12" s="259"/>
      <c r="E12" s="259"/>
      <c r="F12" s="279"/>
      <c r="G12" s="279"/>
      <c r="H12" s="279"/>
      <c r="I12" s="279"/>
      <c r="J12" s="56"/>
    </row>
    <row r="13" spans="1:10" s="55" customFormat="1" ht="8.1" customHeight="1">
      <c r="A13" s="125"/>
      <c r="B13" s="243"/>
      <c r="C13" s="243"/>
      <c r="D13" s="99"/>
      <c r="E13" s="99"/>
      <c r="F13" s="280"/>
      <c r="G13" s="280"/>
      <c r="H13" s="280"/>
      <c r="I13" s="280"/>
      <c r="J13" s="95"/>
    </row>
    <row r="14" spans="1:10" s="125" customFormat="1" ht="12.95" customHeight="1">
      <c r="B14" s="133" t="s">
        <v>102</v>
      </c>
      <c r="C14" s="133"/>
      <c r="D14" s="69">
        <v>2015</v>
      </c>
      <c r="E14" s="174">
        <f>SUM(F14:I14)</f>
        <v>1311</v>
      </c>
      <c r="F14" s="174">
        <v>29</v>
      </c>
      <c r="G14" s="174">
        <v>204</v>
      </c>
      <c r="H14" s="174">
        <v>676</v>
      </c>
      <c r="I14" s="174">
        <v>402</v>
      </c>
    </row>
    <row r="15" spans="1:10" s="125" customFormat="1" ht="12.95" customHeight="1">
      <c r="B15" s="133"/>
      <c r="C15" s="133"/>
      <c r="D15" s="69">
        <v>2016</v>
      </c>
      <c r="E15" s="174">
        <f>SUM(F15:I15)</f>
        <v>1239</v>
      </c>
      <c r="F15" s="174">
        <v>17</v>
      </c>
      <c r="G15" s="174">
        <v>165</v>
      </c>
      <c r="H15" s="174">
        <v>659</v>
      </c>
      <c r="I15" s="174">
        <v>398</v>
      </c>
    </row>
    <row r="16" spans="1:10" s="125" customFormat="1" ht="12.95" customHeight="1">
      <c r="B16" s="133"/>
      <c r="C16" s="133"/>
      <c r="D16" s="69">
        <v>2017</v>
      </c>
      <c r="E16" s="174">
        <f>SUM(F16:I16)</f>
        <v>996</v>
      </c>
      <c r="F16" s="174">
        <f>SUM(+F28+F32+F36+F40+F44+F52)</f>
        <v>21</v>
      </c>
      <c r="G16" s="174">
        <f t="shared" ref="G16:I16" si="0">SUM(G20+G24+G28+G32+G36+G40+G44+G48+G52+G56+G60)</f>
        <v>119</v>
      </c>
      <c r="H16" s="174">
        <f t="shared" si="0"/>
        <v>492</v>
      </c>
      <c r="I16" s="174">
        <f t="shared" si="0"/>
        <v>364</v>
      </c>
    </row>
    <row r="17" spans="2:9" s="125" customFormat="1" ht="8.1" customHeight="1">
      <c r="B17" s="133"/>
      <c r="C17" s="133"/>
      <c r="D17" s="69"/>
      <c r="E17" s="174"/>
      <c r="F17" s="174"/>
      <c r="G17" s="174"/>
      <c r="H17" s="174"/>
      <c r="I17" s="174"/>
    </row>
    <row r="18" spans="2:9" s="125" customFormat="1" ht="12.95" customHeight="1">
      <c r="B18" s="91" t="s">
        <v>57</v>
      </c>
      <c r="C18" s="91"/>
      <c r="D18" s="170">
        <v>2015</v>
      </c>
      <c r="E18" s="175">
        <f>SUM(F18:I18)</f>
        <v>82</v>
      </c>
      <c r="F18" s="175">
        <v>1</v>
      </c>
      <c r="G18" s="175">
        <v>29</v>
      </c>
      <c r="H18" s="175">
        <v>37</v>
      </c>
      <c r="I18" s="175">
        <v>15</v>
      </c>
    </row>
    <row r="19" spans="2:9" s="125" customFormat="1" ht="12.95" customHeight="1">
      <c r="B19" s="91"/>
      <c r="C19" s="91"/>
      <c r="D19" s="170">
        <v>2016</v>
      </c>
      <c r="E19" s="175">
        <f>SUM(F19:I19)</f>
        <v>70</v>
      </c>
      <c r="F19" s="175">
        <v>2</v>
      </c>
      <c r="G19" s="175">
        <v>8</v>
      </c>
      <c r="H19" s="175">
        <v>29</v>
      </c>
      <c r="I19" s="175">
        <v>31</v>
      </c>
    </row>
    <row r="20" spans="2:9" s="125" customFormat="1" ht="12.95" customHeight="1">
      <c r="B20" s="91"/>
      <c r="C20" s="91"/>
      <c r="D20" s="170">
        <v>2017</v>
      </c>
      <c r="E20" s="175">
        <f>SUM(F20:I20)</f>
        <v>65</v>
      </c>
      <c r="F20" s="173" t="s">
        <v>51</v>
      </c>
      <c r="G20" s="175">
        <v>11</v>
      </c>
      <c r="H20" s="175">
        <v>25</v>
      </c>
      <c r="I20" s="175">
        <v>29</v>
      </c>
    </row>
    <row r="21" spans="2:9" s="125" customFormat="1" ht="8.1" customHeight="1">
      <c r="B21" s="91"/>
      <c r="C21" s="91"/>
      <c r="D21" s="170"/>
      <c r="E21" s="175"/>
      <c r="F21" s="173"/>
      <c r="G21" s="175"/>
      <c r="H21" s="175"/>
      <c r="I21" s="175"/>
    </row>
    <row r="22" spans="2:9" s="125" customFormat="1" ht="12.95" customHeight="1">
      <c r="B22" s="91" t="s">
        <v>58</v>
      </c>
      <c r="C22" s="91"/>
      <c r="D22" s="170">
        <v>2015</v>
      </c>
      <c r="E22" s="173">
        <f>SUM(F22:I22)</f>
        <v>21</v>
      </c>
      <c r="F22" s="173">
        <v>1</v>
      </c>
      <c r="G22" s="173">
        <v>8</v>
      </c>
      <c r="H22" s="173">
        <v>10</v>
      </c>
      <c r="I22" s="173">
        <v>2</v>
      </c>
    </row>
    <row r="23" spans="2:9" s="125" customFormat="1" ht="12.95" customHeight="1">
      <c r="B23" s="91"/>
      <c r="C23" s="91"/>
      <c r="D23" s="170">
        <v>2016</v>
      </c>
      <c r="E23" s="173">
        <f>SUM(F23:I23)</f>
        <v>20</v>
      </c>
      <c r="F23" s="173" t="s">
        <v>51</v>
      </c>
      <c r="G23" s="173">
        <v>1</v>
      </c>
      <c r="H23" s="173">
        <v>12</v>
      </c>
      <c r="I23" s="173">
        <v>7</v>
      </c>
    </row>
    <row r="24" spans="2:9" s="125" customFormat="1" ht="12.95" customHeight="1">
      <c r="B24" s="91"/>
      <c r="C24" s="91"/>
      <c r="D24" s="170">
        <v>2017</v>
      </c>
      <c r="E24" s="173">
        <f>SUM(F24:I24)</f>
        <v>11</v>
      </c>
      <c r="F24" s="173" t="s">
        <v>51</v>
      </c>
      <c r="G24" s="173">
        <v>1</v>
      </c>
      <c r="H24" s="173">
        <v>8</v>
      </c>
      <c r="I24" s="173">
        <v>2</v>
      </c>
    </row>
    <row r="25" spans="2:9" s="125" customFormat="1" ht="8.1" customHeight="1">
      <c r="B25" s="91"/>
      <c r="C25" s="91"/>
      <c r="D25" s="170"/>
      <c r="E25" s="173"/>
      <c r="F25" s="173"/>
      <c r="G25" s="173"/>
      <c r="H25" s="173"/>
      <c r="I25" s="173"/>
    </row>
    <row r="26" spans="2:9" s="125" customFormat="1" ht="12.95" customHeight="1">
      <c r="B26" s="91" t="s">
        <v>59</v>
      </c>
      <c r="C26" s="91"/>
      <c r="D26" s="170">
        <v>2015</v>
      </c>
      <c r="E26" s="175">
        <f>SUM(F26:I26)</f>
        <v>358</v>
      </c>
      <c r="F26" s="175">
        <v>6</v>
      </c>
      <c r="G26" s="175">
        <v>42</v>
      </c>
      <c r="H26" s="175">
        <v>214</v>
      </c>
      <c r="I26" s="175">
        <v>96</v>
      </c>
    </row>
    <row r="27" spans="2:9" s="125" customFormat="1" ht="12.95" customHeight="1">
      <c r="B27" s="91"/>
      <c r="C27" s="91"/>
      <c r="D27" s="170">
        <v>2016</v>
      </c>
      <c r="E27" s="175">
        <f>SUM(F27:I27)</f>
        <v>344</v>
      </c>
      <c r="F27" s="175">
        <v>2</v>
      </c>
      <c r="G27" s="175">
        <v>37</v>
      </c>
      <c r="H27" s="175">
        <v>211</v>
      </c>
      <c r="I27" s="175">
        <v>94</v>
      </c>
    </row>
    <row r="28" spans="2:9" s="125" customFormat="1" ht="12.95" customHeight="1">
      <c r="B28" s="91"/>
      <c r="C28" s="91"/>
      <c r="D28" s="170">
        <v>2017</v>
      </c>
      <c r="E28" s="175">
        <f>SUM(F28:I28)</f>
        <v>165</v>
      </c>
      <c r="F28" s="175">
        <v>3</v>
      </c>
      <c r="G28" s="175">
        <v>22</v>
      </c>
      <c r="H28" s="175">
        <v>72</v>
      </c>
      <c r="I28" s="175">
        <v>68</v>
      </c>
    </row>
    <row r="29" spans="2:9" s="125" customFormat="1" ht="8.1" customHeight="1">
      <c r="B29" s="91"/>
      <c r="C29" s="91"/>
      <c r="D29" s="170"/>
      <c r="E29" s="175"/>
      <c r="F29" s="175"/>
      <c r="G29" s="175"/>
      <c r="H29" s="175"/>
      <c r="I29" s="175"/>
    </row>
    <row r="30" spans="2:9" s="125" customFormat="1" ht="12.95" customHeight="1">
      <c r="B30" s="91" t="s">
        <v>60</v>
      </c>
      <c r="C30" s="91"/>
      <c r="D30" s="170">
        <v>2015</v>
      </c>
      <c r="E30" s="173">
        <f>SUM(F30:I30)</f>
        <v>354</v>
      </c>
      <c r="F30" s="173">
        <v>9</v>
      </c>
      <c r="G30" s="173">
        <v>40</v>
      </c>
      <c r="H30" s="173">
        <v>187</v>
      </c>
      <c r="I30" s="173">
        <v>118</v>
      </c>
    </row>
    <row r="31" spans="2:9" s="125" customFormat="1" ht="12.95" customHeight="1">
      <c r="B31" s="91"/>
      <c r="C31" s="91"/>
      <c r="D31" s="170">
        <v>2016</v>
      </c>
      <c r="E31" s="173">
        <f>SUM(F31:I31)</f>
        <v>365</v>
      </c>
      <c r="F31" s="173">
        <v>6</v>
      </c>
      <c r="G31" s="173">
        <v>29</v>
      </c>
      <c r="H31" s="173">
        <v>222</v>
      </c>
      <c r="I31" s="173">
        <v>108</v>
      </c>
    </row>
    <row r="32" spans="2:9" s="125" customFormat="1" ht="12.95" customHeight="1">
      <c r="B32" s="91"/>
      <c r="C32" s="91"/>
      <c r="D32" s="170">
        <v>2017</v>
      </c>
      <c r="E32" s="173">
        <f>SUM(F32:I32)</f>
        <v>372</v>
      </c>
      <c r="F32" s="173">
        <v>7</v>
      </c>
      <c r="G32" s="173">
        <v>32</v>
      </c>
      <c r="H32" s="173">
        <v>206</v>
      </c>
      <c r="I32" s="173">
        <v>127</v>
      </c>
    </row>
    <row r="33" spans="2:9" s="125" customFormat="1" ht="8.1" customHeight="1">
      <c r="B33" s="91"/>
      <c r="C33" s="91"/>
      <c r="D33" s="170"/>
      <c r="E33" s="173"/>
      <c r="F33" s="173"/>
      <c r="G33" s="173"/>
      <c r="H33" s="173"/>
      <c r="I33" s="173"/>
    </row>
    <row r="34" spans="2:9" s="125" customFormat="1" ht="12.95" customHeight="1">
      <c r="B34" s="91" t="s">
        <v>61</v>
      </c>
      <c r="C34" s="91"/>
      <c r="D34" s="170">
        <v>2015</v>
      </c>
      <c r="E34" s="175">
        <f>SUM(F34:I34)</f>
        <v>128</v>
      </c>
      <c r="F34" s="175">
        <v>4</v>
      </c>
      <c r="G34" s="175">
        <v>26</v>
      </c>
      <c r="H34" s="175">
        <v>53</v>
      </c>
      <c r="I34" s="175">
        <v>45</v>
      </c>
    </row>
    <row r="35" spans="2:9" s="125" customFormat="1" ht="12.95" customHeight="1">
      <c r="B35" s="91"/>
      <c r="C35" s="91"/>
      <c r="D35" s="170">
        <v>2016</v>
      </c>
      <c r="E35" s="175">
        <f>SUM(F35:I35)</f>
        <v>117</v>
      </c>
      <c r="F35" s="175">
        <v>1</v>
      </c>
      <c r="G35" s="175">
        <v>20</v>
      </c>
      <c r="H35" s="175">
        <v>50</v>
      </c>
      <c r="I35" s="175">
        <v>46</v>
      </c>
    </row>
    <row r="36" spans="2:9" s="125" customFormat="1" ht="12.95" customHeight="1">
      <c r="B36" s="91"/>
      <c r="C36" s="91"/>
      <c r="D36" s="170">
        <v>2017</v>
      </c>
      <c r="E36" s="175">
        <f>SUM(F36:I36)</f>
        <v>92</v>
      </c>
      <c r="F36" s="175">
        <v>4</v>
      </c>
      <c r="G36" s="175">
        <v>6</v>
      </c>
      <c r="H36" s="175">
        <v>48</v>
      </c>
      <c r="I36" s="175">
        <v>34</v>
      </c>
    </row>
    <row r="37" spans="2:9" s="125" customFormat="1" ht="8.1" customHeight="1">
      <c r="B37" s="91"/>
      <c r="C37" s="91"/>
      <c r="D37" s="170"/>
      <c r="E37" s="175"/>
      <c r="F37" s="175"/>
      <c r="G37" s="175"/>
      <c r="H37" s="175"/>
      <c r="I37" s="175"/>
    </row>
    <row r="38" spans="2:9" s="125" customFormat="1" ht="12.95" customHeight="1">
      <c r="B38" s="91" t="s">
        <v>62</v>
      </c>
      <c r="C38" s="91"/>
      <c r="D38" s="170">
        <v>2015</v>
      </c>
      <c r="E38" s="173">
        <f>SUM(F38:I38)</f>
        <v>178</v>
      </c>
      <c r="F38" s="173">
        <v>3</v>
      </c>
      <c r="G38" s="173">
        <v>25</v>
      </c>
      <c r="H38" s="173">
        <v>102</v>
      </c>
      <c r="I38" s="173">
        <v>48</v>
      </c>
    </row>
    <row r="39" spans="2:9" s="125" customFormat="1" ht="12.95" customHeight="1">
      <c r="B39" s="91"/>
      <c r="C39" s="91"/>
      <c r="D39" s="170">
        <v>2016</v>
      </c>
      <c r="E39" s="173">
        <f>SUM(F39:I39)</f>
        <v>149</v>
      </c>
      <c r="F39" s="173">
        <v>4</v>
      </c>
      <c r="G39" s="173">
        <v>24</v>
      </c>
      <c r="H39" s="173">
        <v>75</v>
      </c>
      <c r="I39" s="173">
        <v>46</v>
      </c>
    </row>
    <row r="40" spans="2:9" s="125" customFormat="1" ht="12.95" customHeight="1">
      <c r="B40" s="91"/>
      <c r="C40" s="91"/>
      <c r="D40" s="170">
        <v>2017</v>
      </c>
      <c r="E40" s="173">
        <f>SUM(F40:I40)</f>
        <v>171</v>
      </c>
      <c r="F40" s="173">
        <v>3</v>
      </c>
      <c r="G40" s="173">
        <v>22</v>
      </c>
      <c r="H40" s="173">
        <v>84</v>
      </c>
      <c r="I40" s="173">
        <v>62</v>
      </c>
    </row>
    <row r="41" spans="2:9" s="125" customFormat="1" ht="8.1" customHeight="1">
      <c r="B41" s="91"/>
      <c r="C41" s="91"/>
      <c r="D41" s="170"/>
      <c r="E41" s="173"/>
      <c r="F41" s="173"/>
      <c r="G41" s="173"/>
      <c r="H41" s="173"/>
      <c r="I41" s="173"/>
    </row>
    <row r="42" spans="2:9" s="125" customFormat="1" ht="12.95" customHeight="1">
      <c r="B42" s="91" t="s">
        <v>63</v>
      </c>
      <c r="C42" s="91"/>
      <c r="D42" s="170">
        <v>2015</v>
      </c>
      <c r="E42" s="175">
        <f>SUM(F42:I42)</f>
        <v>66</v>
      </c>
      <c r="F42" s="173" t="s">
        <v>51</v>
      </c>
      <c r="G42" s="175">
        <v>13</v>
      </c>
      <c r="H42" s="175">
        <v>17</v>
      </c>
      <c r="I42" s="175">
        <v>36</v>
      </c>
    </row>
    <row r="43" spans="2:9" s="125" customFormat="1" ht="12.95" customHeight="1">
      <c r="B43" s="91"/>
      <c r="C43" s="91"/>
      <c r="D43" s="170">
        <v>2016</v>
      </c>
      <c r="E43" s="175">
        <f>SUM(F43:I43)</f>
        <v>59</v>
      </c>
      <c r="F43" s="175">
        <v>1</v>
      </c>
      <c r="G43" s="175">
        <v>16</v>
      </c>
      <c r="H43" s="175">
        <v>11</v>
      </c>
      <c r="I43" s="175">
        <v>31</v>
      </c>
    </row>
    <row r="44" spans="2:9" s="125" customFormat="1" ht="12.95" customHeight="1">
      <c r="B44" s="91"/>
      <c r="C44" s="91"/>
      <c r="D44" s="170">
        <v>2017</v>
      </c>
      <c r="E44" s="175">
        <f>SUM(F44:I44)</f>
        <v>42</v>
      </c>
      <c r="F44" s="175">
        <v>3</v>
      </c>
      <c r="G44" s="175">
        <v>6</v>
      </c>
      <c r="H44" s="175">
        <v>15</v>
      </c>
      <c r="I44" s="175">
        <v>18</v>
      </c>
    </row>
    <row r="45" spans="2:9" s="125" customFormat="1" ht="8.1" customHeight="1">
      <c r="B45" s="91"/>
      <c r="C45" s="91"/>
      <c r="D45" s="170"/>
      <c r="E45" s="175"/>
      <c r="F45" s="175"/>
      <c r="G45" s="175"/>
      <c r="H45" s="175"/>
      <c r="I45" s="175"/>
    </row>
    <row r="46" spans="2:9" s="125" customFormat="1" ht="12.95" customHeight="1">
      <c r="B46" s="91" t="s">
        <v>64</v>
      </c>
      <c r="C46" s="91"/>
      <c r="D46" s="170">
        <v>2015</v>
      </c>
      <c r="E46" s="173">
        <f>SUM(F46:I46)</f>
        <v>25</v>
      </c>
      <c r="F46" s="173">
        <v>2</v>
      </c>
      <c r="G46" s="173">
        <v>8</v>
      </c>
      <c r="H46" s="173">
        <v>5</v>
      </c>
      <c r="I46" s="173">
        <v>10</v>
      </c>
    </row>
    <row r="47" spans="2:9" s="125" customFormat="1" ht="12.95" customHeight="1">
      <c r="B47" s="91"/>
      <c r="C47" s="91"/>
      <c r="D47" s="170">
        <v>2016</v>
      </c>
      <c r="E47" s="173">
        <f>SUM(F47:I47)</f>
        <v>25</v>
      </c>
      <c r="F47" s="173">
        <v>1</v>
      </c>
      <c r="G47" s="173">
        <v>10</v>
      </c>
      <c r="H47" s="173">
        <v>5</v>
      </c>
      <c r="I47" s="173">
        <v>9</v>
      </c>
    </row>
    <row r="48" spans="2:9" s="125" customFormat="1" ht="12.95" customHeight="1">
      <c r="B48" s="91"/>
      <c r="C48" s="91"/>
      <c r="D48" s="170">
        <v>2017</v>
      </c>
      <c r="E48" s="173">
        <f>SUM(F48:I48)</f>
        <v>21</v>
      </c>
      <c r="F48" s="173" t="s">
        <v>51</v>
      </c>
      <c r="G48" s="173">
        <v>7</v>
      </c>
      <c r="H48" s="173">
        <v>6</v>
      </c>
      <c r="I48" s="173">
        <v>8</v>
      </c>
    </row>
    <row r="49" spans="1:10" s="125" customFormat="1" ht="8.1" customHeight="1">
      <c r="B49" s="91"/>
      <c r="C49" s="91"/>
      <c r="D49" s="170"/>
      <c r="E49" s="173"/>
      <c r="F49" s="173"/>
      <c r="G49" s="173"/>
      <c r="H49" s="173"/>
      <c r="I49" s="173"/>
    </row>
    <row r="50" spans="1:10" s="125" customFormat="1" ht="12.95" customHeight="1">
      <c r="B50" s="91" t="s">
        <v>65</v>
      </c>
      <c r="C50" s="91"/>
      <c r="D50" s="170">
        <v>2015</v>
      </c>
      <c r="E50" s="175">
        <f>SUM(F50:I50)</f>
        <v>45</v>
      </c>
      <c r="F50" s="175">
        <v>1</v>
      </c>
      <c r="G50" s="175">
        <v>5</v>
      </c>
      <c r="H50" s="175">
        <v>22</v>
      </c>
      <c r="I50" s="175">
        <v>17</v>
      </c>
    </row>
    <row r="51" spans="1:10" s="125" customFormat="1" ht="12.95" customHeight="1">
      <c r="B51" s="91"/>
      <c r="C51" s="91"/>
      <c r="D51" s="170">
        <v>2016</v>
      </c>
      <c r="E51" s="175">
        <f>SUM(F51:I51)</f>
        <v>50</v>
      </c>
      <c r="F51" s="173" t="s">
        <v>51</v>
      </c>
      <c r="G51" s="175">
        <v>7</v>
      </c>
      <c r="H51" s="175">
        <v>29</v>
      </c>
      <c r="I51" s="175">
        <v>14</v>
      </c>
    </row>
    <row r="52" spans="1:10" s="125" customFormat="1" ht="12.95" customHeight="1">
      <c r="B52" s="91"/>
      <c r="C52" s="91"/>
      <c r="D52" s="170">
        <v>2017</v>
      </c>
      <c r="E52" s="175">
        <f>SUM(F52:I52)</f>
        <v>29</v>
      </c>
      <c r="F52" s="175">
        <v>1</v>
      </c>
      <c r="G52" s="175">
        <v>3</v>
      </c>
      <c r="H52" s="175">
        <v>16</v>
      </c>
      <c r="I52" s="175">
        <v>9</v>
      </c>
    </row>
    <row r="53" spans="1:10" s="125" customFormat="1" ht="8.1" customHeight="1">
      <c r="B53" s="91"/>
      <c r="C53" s="91"/>
      <c r="D53" s="170"/>
      <c r="E53" s="175"/>
      <c r="F53" s="175"/>
      <c r="G53" s="175"/>
      <c r="H53" s="175"/>
      <c r="I53" s="175"/>
    </row>
    <row r="54" spans="1:10" s="55" customFormat="1" ht="12.95" customHeight="1">
      <c r="B54" s="91" t="s">
        <v>66</v>
      </c>
      <c r="C54" s="91"/>
      <c r="D54" s="170">
        <v>2015</v>
      </c>
      <c r="E54" s="173">
        <f>SUM(F54:I54)</f>
        <v>29</v>
      </c>
      <c r="F54" s="173">
        <v>1</v>
      </c>
      <c r="G54" s="173">
        <v>5</v>
      </c>
      <c r="H54" s="173">
        <v>12</v>
      </c>
      <c r="I54" s="173">
        <v>11</v>
      </c>
    </row>
    <row r="55" spans="1:10" s="55" customFormat="1" ht="12.95" customHeight="1">
      <c r="B55" s="91"/>
      <c r="C55" s="91"/>
      <c r="D55" s="170">
        <v>2016</v>
      </c>
      <c r="E55" s="173">
        <f>SUM(F55:I55)</f>
        <v>20</v>
      </c>
      <c r="F55" s="173" t="s">
        <v>51</v>
      </c>
      <c r="G55" s="173">
        <v>11</v>
      </c>
      <c r="H55" s="173">
        <v>4</v>
      </c>
      <c r="I55" s="173">
        <v>5</v>
      </c>
    </row>
    <row r="56" spans="1:10" s="55" customFormat="1" ht="12.95" customHeight="1">
      <c r="B56" s="91"/>
      <c r="C56" s="91"/>
      <c r="D56" s="170">
        <v>2017</v>
      </c>
      <c r="E56" s="173">
        <f>SUM(F56:I56)</f>
        <v>11</v>
      </c>
      <c r="F56" s="173" t="s">
        <v>51</v>
      </c>
      <c r="G56" s="173">
        <v>1</v>
      </c>
      <c r="H56" s="173">
        <v>7</v>
      </c>
      <c r="I56" s="173">
        <v>3</v>
      </c>
    </row>
    <row r="57" spans="1:10" s="55" customFormat="1" ht="8.1" customHeight="1">
      <c r="B57" s="91"/>
      <c r="C57" s="91"/>
      <c r="D57" s="170"/>
      <c r="E57" s="173"/>
      <c r="F57" s="173"/>
      <c r="G57" s="173"/>
      <c r="H57" s="173"/>
      <c r="I57" s="173"/>
    </row>
    <row r="58" spans="1:10" s="55" customFormat="1" ht="12.95" customHeight="1">
      <c r="B58" s="91" t="s">
        <v>67</v>
      </c>
      <c r="C58" s="91"/>
      <c r="D58" s="170">
        <v>2015</v>
      </c>
      <c r="E58" s="175">
        <f>SUM(F58:I58)</f>
        <v>25</v>
      </c>
      <c r="F58" s="175">
        <v>1</v>
      </c>
      <c r="G58" s="175">
        <v>3</v>
      </c>
      <c r="H58" s="175">
        <v>17</v>
      </c>
      <c r="I58" s="175">
        <v>4</v>
      </c>
    </row>
    <row r="59" spans="1:10" s="55" customFormat="1" ht="12.95" customHeight="1">
      <c r="B59" s="91"/>
      <c r="C59" s="91"/>
      <c r="D59" s="170">
        <v>2016</v>
      </c>
      <c r="E59" s="175">
        <f>SUM(F59:I59)</f>
        <v>20</v>
      </c>
      <c r="F59" s="173" t="s">
        <v>51</v>
      </c>
      <c r="G59" s="175">
        <v>2</v>
      </c>
      <c r="H59" s="175">
        <v>11</v>
      </c>
      <c r="I59" s="175">
        <v>7</v>
      </c>
    </row>
    <row r="60" spans="1:10" s="55" customFormat="1" ht="12.95" customHeight="1">
      <c r="B60" s="91"/>
      <c r="C60" s="91"/>
      <c r="D60" s="170">
        <v>2017</v>
      </c>
      <c r="E60" s="175">
        <f>SUM(F60:I60)</f>
        <v>17</v>
      </c>
      <c r="F60" s="173" t="s">
        <v>51</v>
      </c>
      <c r="G60" s="175">
        <v>8</v>
      </c>
      <c r="H60" s="175">
        <v>5</v>
      </c>
      <c r="I60" s="175">
        <v>4</v>
      </c>
    </row>
    <row r="61" spans="1:10" s="55" customFormat="1" ht="8.1" customHeight="1" thickBot="1">
      <c r="A61" s="283"/>
      <c r="B61" s="284"/>
      <c r="C61" s="284"/>
      <c r="D61" s="284"/>
      <c r="E61" s="285"/>
      <c r="F61" s="286"/>
      <c r="G61" s="286"/>
      <c r="H61" s="286"/>
      <c r="I61" s="287"/>
      <c r="J61" s="283"/>
    </row>
    <row r="62" spans="1:10" s="55" customFormat="1" ht="12.95" customHeight="1">
      <c r="B62" s="124"/>
      <c r="C62" s="124"/>
      <c r="D62" s="124"/>
      <c r="E62" s="70"/>
      <c r="F62" s="123"/>
      <c r="G62" s="123"/>
      <c r="H62" s="123"/>
      <c r="I62" s="265"/>
      <c r="J62" s="8" t="s">
        <v>104</v>
      </c>
    </row>
    <row r="63" spans="1:10" s="55" customFormat="1" ht="12.95" customHeight="1">
      <c r="B63" s="124"/>
      <c r="C63" s="124"/>
      <c r="D63" s="124"/>
      <c r="E63" s="70"/>
      <c r="F63" s="123"/>
      <c r="G63" s="123"/>
      <c r="H63" s="123"/>
      <c r="I63" s="265"/>
      <c r="J63" s="41" t="s">
        <v>1</v>
      </c>
    </row>
  </sheetData>
  <mergeCells count="7">
    <mergeCell ref="I11:I12"/>
    <mergeCell ref="B11:C12"/>
    <mergeCell ref="D11:D12"/>
    <mergeCell ref="E11:E12"/>
    <mergeCell ref="F11:F12"/>
    <mergeCell ref="G11:G12"/>
    <mergeCell ref="H11:H12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5" fitToWidth="0" orientation="portrait" r:id="rId1"/>
  <headerFooter>
    <oddHeader xml:space="preserve">&amp;R&amp;"-,Bold"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showGridLines="0" topLeftCell="A28" zoomScaleNormal="100" zoomScaleSheetLayoutView="100" workbookViewId="0">
      <selection activeCell="P43" sqref="P43"/>
    </sheetView>
  </sheetViews>
  <sheetFormatPr defaultColWidth="9.140625" defaultRowHeight="15"/>
  <cols>
    <col min="1" max="1" width="1.7109375" style="2" customWidth="1"/>
    <col min="2" max="4" width="10.85546875" style="3" customWidth="1"/>
    <col min="5" max="5" width="15.7109375" style="21" customWidth="1"/>
    <col min="6" max="6" width="23.7109375" style="22" customWidth="1"/>
    <col min="7" max="7" width="23.7109375" style="182" customWidth="1"/>
    <col min="8" max="8" width="0.85546875" style="2" customWidth="1"/>
    <col min="9" max="16384" width="9.140625" style="2"/>
  </cols>
  <sheetData>
    <row r="1" spans="1:8" s="30" customFormat="1" ht="12" customHeight="1">
      <c r="B1" s="27"/>
      <c r="C1" s="27"/>
      <c r="D1" s="27"/>
      <c r="E1" s="28"/>
      <c r="F1" s="29"/>
      <c r="G1" s="179" t="s">
        <v>188</v>
      </c>
    </row>
    <row r="2" spans="1:8" s="30" customFormat="1" ht="12" customHeight="1">
      <c r="B2" s="27"/>
      <c r="C2" s="27"/>
      <c r="D2" s="27"/>
      <c r="E2" s="28"/>
      <c r="F2" s="29"/>
      <c r="G2" s="180" t="s">
        <v>189</v>
      </c>
    </row>
    <row r="3" spans="1:8" s="30" customFormat="1" ht="12" customHeight="1">
      <c r="B3" s="27"/>
      <c r="C3" s="27"/>
      <c r="D3" s="27"/>
      <c r="E3" s="28"/>
      <c r="F3" s="29"/>
      <c r="G3" s="180"/>
    </row>
    <row r="4" spans="1:8" s="30" customFormat="1" ht="12" customHeight="1">
      <c r="B4" s="27"/>
      <c r="C4" s="27"/>
      <c r="D4" s="27"/>
      <c r="E4" s="28"/>
      <c r="F4" s="29"/>
      <c r="G4" s="180"/>
    </row>
    <row r="5" spans="1:8" s="55" customFormat="1" ht="15" customHeight="1">
      <c r="B5" s="70" t="s">
        <v>92</v>
      </c>
      <c r="C5" s="71" t="s">
        <v>94</v>
      </c>
      <c r="D5" s="71"/>
      <c r="E5" s="70"/>
      <c r="F5" s="71"/>
      <c r="G5" s="181"/>
      <c r="H5" s="71"/>
    </row>
    <row r="6" spans="1:8" s="72" customFormat="1" ht="15" customHeight="1">
      <c r="B6" s="73" t="s">
        <v>93</v>
      </c>
      <c r="C6" s="189" t="s">
        <v>101</v>
      </c>
      <c r="D6" s="189"/>
      <c r="E6" s="189"/>
      <c r="F6" s="189"/>
      <c r="G6" s="189"/>
      <c r="H6" s="74"/>
    </row>
    <row r="7" spans="1:8" ht="9.9499999999999993" customHeight="1" thickBot="1"/>
    <row r="8" spans="1:8" s="55" customFormat="1" ht="20.100000000000001" customHeight="1" thickTop="1">
      <c r="A8" s="53"/>
      <c r="B8" s="196" t="s">
        <v>98</v>
      </c>
      <c r="C8" s="196"/>
      <c r="D8" s="190" t="s">
        <v>100</v>
      </c>
      <c r="E8" s="190" t="s">
        <v>95</v>
      </c>
      <c r="F8" s="192" t="s">
        <v>96</v>
      </c>
      <c r="G8" s="194" t="s">
        <v>97</v>
      </c>
      <c r="H8" s="54"/>
    </row>
    <row r="9" spans="1:8" s="55" customFormat="1" ht="33" customHeight="1">
      <c r="A9" s="56"/>
      <c r="B9" s="197"/>
      <c r="C9" s="197"/>
      <c r="D9" s="191"/>
      <c r="E9" s="191"/>
      <c r="F9" s="193"/>
      <c r="G9" s="195"/>
      <c r="H9" s="57"/>
    </row>
    <row r="10" spans="1:8" s="6" customFormat="1" ht="6" customHeight="1">
      <c r="B10" s="13"/>
      <c r="C10" s="13"/>
      <c r="D10" s="13"/>
      <c r="E10" s="9"/>
      <c r="F10" s="9"/>
      <c r="G10" s="9"/>
    </row>
    <row r="11" spans="1:8" s="24" customFormat="1" ht="12.95" customHeight="1">
      <c r="B11" s="66" t="s">
        <v>99</v>
      </c>
      <c r="C11" s="66"/>
      <c r="D11" s="67">
        <v>2015</v>
      </c>
      <c r="E11" s="151">
        <f>E15+E23+E27+E31+E35+E39+E43+E47+E51+E55+E59+E63+E67</f>
        <v>13480</v>
      </c>
      <c r="F11" s="151">
        <f t="shared" ref="F11:G11" si="0">F15+F23+F27+F31+F35+F39+F43+F47+F51+F55+F59+F63+F67</f>
        <v>2413</v>
      </c>
      <c r="G11" s="151">
        <f t="shared" si="0"/>
        <v>11067</v>
      </c>
    </row>
    <row r="12" spans="1:8" s="24" customFormat="1" ht="12.95" customHeight="1">
      <c r="B12" s="68"/>
      <c r="C12" s="66"/>
      <c r="D12" s="67">
        <v>2016</v>
      </c>
      <c r="E12" s="151">
        <f t="shared" ref="E12" si="1">E16+E24+E28+E32+E36+E40+E44+E48+E52+E56+E60+E64+E68</f>
        <v>12941</v>
      </c>
      <c r="F12" s="151">
        <f>F16+F24+F28+F32+F36+F40+F44+F48+F52+F56+F60+F64+F68</f>
        <v>2820</v>
      </c>
      <c r="G12" s="151">
        <f>G16+G24+G28+G32+G36+G40+G44+G48+G52+G56+G60+G64+G68</f>
        <v>10121</v>
      </c>
    </row>
    <row r="13" spans="1:8" s="24" customFormat="1" ht="12.95" customHeight="1">
      <c r="B13" s="66"/>
      <c r="C13" s="68"/>
      <c r="D13" s="69">
        <v>2017</v>
      </c>
      <c r="E13" s="151">
        <f>E17+E25+E21+E29+E33+E37+E41+E45+E49+E53+E57+E61+E65+E69</f>
        <v>11307</v>
      </c>
      <c r="F13" s="151">
        <f>F17+F25+F21+F29+F33+F37+F41+F45+F49+F53+F57+F61+F65+F69</f>
        <v>2578</v>
      </c>
      <c r="G13" s="151">
        <f t="shared" ref="G13" si="2">G17+G25+G21+G29+G33+G37+G41+G45+G49+G53+G57+G61+G65+G69</f>
        <v>8729</v>
      </c>
    </row>
    <row r="14" spans="1:8" s="24" customFormat="1" ht="6" customHeight="1">
      <c r="B14" s="66"/>
      <c r="C14" s="68"/>
      <c r="D14" s="69"/>
      <c r="E14" s="60"/>
      <c r="F14" s="60"/>
      <c r="G14" s="60"/>
    </row>
    <row r="15" spans="1:8" s="7" customFormat="1" ht="12.95" customHeight="1">
      <c r="B15" s="61" t="s">
        <v>2</v>
      </c>
      <c r="C15" s="61"/>
      <c r="D15" s="176">
        <v>2015</v>
      </c>
      <c r="E15" s="173">
        <f>SUM(F15:G15)</f>
        <v>917</v>
      </c>
      <c r="F15" s="173">
        <v>195</v>
      </c>
      <c r="G15" s="173">
        <v>722</v>
      </c>
    </row>
    <row r="16" spans="1:8" s="7" customFormat="1" ht="12.95" customHeight="1">
      <c r="B16" s="62"/>
      <c r="C16" s="61"/>
      <c r="D16" s="176">
        <v>2016</v>
      </c>
      <c r="E16" s="173">
        <f>SUM(F16:G16)</f>
        <v>780</v>
      </c>
      <c r="F16" s="175">
        <v>159</v>
      </c>
      <c r="G16" s="175">
        <v>621</v>
      </c>
    </row>
    <row r="17" spans="2:11" s="7" customFormat="1" ht="12.95" customHeight="1">
      <c r="B17" s="61"/>
      <c r="C17" s="62"/>
      <c r="D17" s="170">
        <v>2017</v>
      </c>
      <c r="E17" s="173">
        <f>SUM(F17:G17)</f>
        <v>681</v>
      </c>
      <c r="F17" s="173">
        <v>123</v>
      </c>
      <c r="G17" s="173">
        <v>558</v>
      </c>
    </row>
    <row r="18" spans="2:11" s="7" customFormat="1" ht="6" customHeight="1">
      <c r="B18" s="61"/>
      <c r="C18" s="62"/>
      <c r="D18" s="170"/>
      <c r="E18" s="175"/>
      <c r="F18" s="175"/>
      <c r="G18" s="175"/>
    </row>
    <row r="19" spans="2:11" ht="12.95" customHeight="1">
      <c r="B19" s="61" t="s">
        <v>52</v>
      </c>
      <c r="C19" s="62"/>
      <c r="D19" s="176">
        <v>2015</v>
      </c>
      <c r="E19" s="173" t="s">
        <v>51</v>
      </c>
      <c r="F19" s="173" t="s">
        <v>51</v>
      </c>
      <c r="G19" s="173" t="s">
        <v>51</v>
      </c>
    </row>
    <row r="20" spans="2:11" ht="12.95" customHeight="1">
      <c r="B20" s="61"/>
      <c r="C20" s="62"/>
      <c r="D20" s="176">
        <v>2016</v>
      </c>
      <c r="E20" s="173" t="s">
        <v>51</v>
      </c>
      <c r="F20" s="173" t="s">
        <v>51</v>
      </c>
      <c r="G20" s="173" t="s">
        <v>51</v>
      </c>
    </row>
    <row r="21" spans="2:11" ht="12.95" customHeight="1">
      <c r="B21" s="61"/>
      <c r="C21" s="62"/>
      <c r="D21" s="170">
        <v>2017</v>
      </c>
      <c r="E21" s="173">
        <f>SUM(F21:G21)</f>
        <v>922</v>
      </c>
      <c r="F21" s="173">
        <v>195</v>
      </c>
      <c r="G21" s="173">
        <v>727</v>
      </c>
    </row>
    <row r="22" spans="2:11" ht="6" customHeight="1">
      <c r="B22" s="61"/>
      <c r="C22" s="62"/>
      <c r="D22" s="170"/>
      <c r="E22" s="175"/>
      <c r="F22" s="150"/>
      <c r="G22" s="150"/>
    </row>
    <row r="23" spans="2:11" ht="12.95" customHeight="1">
      <c r="B23" s="62" t="s">
        <v>53</v>
      </c>
      <c r="C23" s="62"/>
      <c r="D23" s="176">
        <v>2015</v>
      </c>
      <c r="E23" s="175">
        <f>SUM(F23:G23)</f>
        <v>3683</v>
      </c>
      <c r="F23" s="175">
        <v>655</v>
      </c>
      <c r="G23" s="175">
        <v>3028</v>
      </c>
    </row>
    <row r="24" spans="2:11" ht="12.95" customHeight="1">
      <c r="B24" s="62"/>
      <c r="C24" s="62"/>
      <c r="D24" s="176">
        <v>2016</v>
      </c>
      <c r="E24" s="175">
        <f>SUM(F24:G24)</f>
        <v>3778</v>
      </c>
      <c r="F24" s="175">
        <v>976</v>
      </c>
      <c r="G24" s="175">
        <v>2802</v>
      </c>
    </row>
    <row r="25" spans="2:11" ht="12.95" customHeight="1">
      <c r="B25" s="62"/>
      <c r="C25" s="62"/>
      <c r="D25" s="170">
        <v>2017</v>
      </c>
      <c r="E25" s="175">
        <f>SUM(F25:G25)</f>
        <v>3231</v>
      </c>
      <c r="F25" s="175">
        <v>956</v>
      </c>
      <c r="G25" s="175">
        <v>2275</v>
      </c>
    </row>
    <row r="26" spans="2:11" ht="6" customHeight="1">
      <c r="B26" s="62"/>
      <c r="C26" s="62"/>
      <c r="D26" s="170"/>
      <c r="E26" s="175"/>
      <c r="F26" s="175"/>
      <c r="G26" s="175"/>
    </row>
    <row r="27" spans="2:11" ht="12.95" customHeight="1">
      <c r="B27" s="62" t="s">
        <v>54</v>
      </c>
      <c r="C27" s="62"/>
      <c r="D27" s="176">
        <v>2015</v>
      </c>
      <c r="E27" s="175">
        <f>SUM(F27:G27)</f>
        <v>2194</v>
      </c>
      <c r="F27" s="175">
        <v>377</v>
      </c>
      <c r="G27" s="175">
        <v>1817</v>
      </c>
    </row>
    <row r="28" spans="2:11" ht="12.95" customHeight="1">
      <c r="B28" s="62"/>
      <c r="C28" s="62"/>
      <c r="D28" s="176">
        <v>2016</v>
      </c>
      <c r="E28" s="175">
        <f>SUM(F28:G28)</f>
        <v>2155</v>
      </c>
      <c r="F28" s="175">
        <v>527</v>
      </c>
      <c r="G28" s="175">
        <v>1628</v>
      </c>
    </row>
    <row r="29" spans="2:11" s="3" customFormat="1" ht="12.95" customHeight="1">
      <c r="B29" s="62"/>
      <c r="C29" s="62"/>
      <c r="D29" s="170">
        <v>2017</v>
      </c>
      <c r="E29" s="175">
        <f>SUM(F29:G29)</f>
        <v>1649</v>
      </c>
      <c r="F29" s="175">
        <v>412</v>
      </c>
      <c r="G29" s="175">
        <v>1237</v>
      </c>
      <c r="H29" s="2"/>
      <c r="I29" s="2"/>
      <c r="J29" s="2"/>
      <c r="K29" s="2"/>
    </row>
    <row r="30" spans="2:11" s="3" customFormat="1" ht="6" customHeight="1">
      <c r="B30" s="62"/>
      <c r="C30" s="62"/>
      <c r="D30" s="170"/>
      <c r="E30" s="175"/>
      <c r="F30" s="175"/>
      <c r="G30" s="175"/>
      <c r="H30" s="2"/>
      <c r="I30" s="2"/>
      <c r="J30" s="2"/>
      <c r="K30" s="2"/>
    </row>
    <row r="31" spans="2:11" ht="12.95" customHeight="1">
      <c r="B31" s="62" t="s">
        <v>3</v>
      </c>
      <c r="C31" s="62"/>
      <c r="D31" s="176">
        <v>2015</v>
      </c>
      <c r="E31" s="175">
        <f>SUM(F31:G31)</f>
        <v>784</v>
      </c>
      <c r="F31" s="175">
        <v>160</v>
      </c>
      <c r="G31" s="175">
        <v>624</v>
      </c>
    </row>
    <row r="32" spans="2:11" ht="12.95" customHeight="1">
      <c r="B32" s="62"/>
      <c r="C32" s="61"/>
      <c r="D32" s="176">
        <v>2016</v>
      </c>
      <c r="E32" s="175">
        <f>SUM(F32:G32)</f>
        <v>684</v>
      </c>
      <c r="F32" s="175">
        <v>158</v>
      </c>
      <c r="G32" s="175">
        <v>526</v>
      </c>
    </row>
    <row r="33" spans="2:7" ht="12.95" customHeight="1">
      <c r="B33" s="62"/>
      <c r="C33" s="61"/>
      <c r="D33" s="170">
        <v>2017</v>
      </c>
      <c r="E33" s="175">
        <f>SUM(F33:G33)</f>
        <v>652</v>
      </c>
      <c r="F33" s="175">
        <v>117</v>
      </c>
      <c r="G33" s="175">
        <v>535</v>
      </c>
    </row>
    <row r="34" spans="2:7" ht="6" customHeight="1">
      <c r="B34" s="62"/>
      <c r="C34" s="61"/>
      <c r="D34" s="170"/>
      <c r="E34" s="173"/>
      <c r="F34" s="173"/>
      <c r="G34" s="173"/>
    </row>
    <row r="35" spans="2:7" ht="12.95" customHeight="1">
      <c r="B35" s="62" t="s">
        <v>4</v>
      </c>
      <c r="C35" s="62"/>
      <c r="D35" s="176">
        <v>2015</v>
      </c>
      <c r="E35" s="175">
        <f>SUM(F35:G35)</f>
        <v>554</v>
      </c>
      <c r="F35" s="175">
        <v>86</v>
      </c>
      <c r="G35" s="175">
        <v>468</v>
      </c>
    </row>
    <row r="36" spans="2:7" ht="12.95" customHeight="1">
      <c r="B36" s="62"/>
      <c r="C36" s="62"/>
      <c r="D36" s="176">
        <v>2016</v>
      </c>
      <c r="E36" s="175">
        <f>SUM(F36:G36)</f>
        <v>565</v>
      </c>
      <c r="F36" s="175">
        <v>109</v>
      </c>
      <c r="G36" s="175">
        <v>456</v>
      </c>
    </row>
    <row r="37" spans="2:7" ht="12.95" customHeight="1">
      <c r="B37" s="62"/>
      <c r="C37" s="62"/>
      <c r="D37" s="170">
        <v>2017</v>
      </c>
      <c r="E37" s="175">
        <f>SUM(F37:G37)</f>
        <v>583</v>
      </c>
      <c r="F37" s="175">
        <v>89</v>
      </c>
      <c r="G37" s="175">
        <v>494</v>
      </c>
    </row>
    <row r="38" spans="2:7" ht="6" customHeight="1">
      <c r="B38" s="62"/>
      <c r="C38" s="62"/>
      <c r="D38" s="170"/>
      <c r="E38" s="175"/>
      <c r="F38" s="175"/>
      <c r="G38" s="175"/>
    </row>
    <row r="39" spans="2:7" ht="12.95" customHeight="1">
      <c r="B39" s="62" t="s">
        <v>9</v>
      </c>
      <c r="C39" s="62"/>
      <c r="D39" s="176">
        <v>2015</v>
      </c>
      <c r="E39" s="175">
        <f>SUM(F39:G39)</f>
        <v>866</v>
      </c>
      <c r="F39" s="150">
        <v>143</v>
      </c>
      <c r="G39" s="150">
        <v>723</v>
      </c>
    </row>
    <row r="40" spans="2:7" ht="12.95" customHeight="1">
      <c r="B40" s="62"/>
      <c r="C40" s="62"/>
      <c r="D40" s="176">
        <v>2016</v>
      </c>
      <c r="E40" s="175">
        <f>SUM(F40:G40)</f>
        <v>773</v>
      </c>
      <c r="F40" s="150">
        <v>156</v>
      </c>
      <c r="G40" s="150">
        <v>617</v>
      </c>
    </row>
    <row r="41" spans="2:7" ht="12.95" customHeight="1">
      <c r="B41" s="62"/>
      <c r="C41" s="62"/>
      <c r="D41" s="170">
        <v>2017</v>
      </c>
      <c r="E41" s="175">
        <f>SUM(F41:G41)</f>
        <v>772</v>
      </c>
      <c r="F41" s="150">
        <v>209</v>
      </c>
      <c r="G41" s="150">
        <v>563</v>
      </c>
    </row>
    <row r="42" spans="2:7" ht="6" customHeight="1">
      <c r="B42" s="62"/>
      <c r="C42" s="62"/>
      <c r="D42" s="170"/>
      <c r="E42" s="175"/>
      <c r="F42" s="175"/>
      <c r="G42" s="175"/>
    </row>
    <row r="43" spans="2:7" ht="12.95" customHeight="1">
      <c r="B43" s="62" t="s">
        <v>10</v>
      </c>
      <c r="C43" s="62"/>
      <c r="D43" s="176">
        <v>2015</v>
      </c>
      <c r="E43" s="175">
        <f>SUM(F43:G43)</f>
        <v>283</v>
      </c>
      <c r="F43" s="175">
        <v>82</v>
      </c>
      <c r="G43" s="175">
        <v>201</v>
      </c>
    </row>
    <row r="44" spans="2:7" ht="12.95" customHeight="1">
      <c r="B44" s="62"/>
      <c r="C44" s="62"/>
      <c r="D44" s="176">
        <v>2016</v>
      </c>
      <c r="E44" s="175">
        <f>SUM(F44:G44)</f>
        <v>270</v>
      </c>
      <c r="F44" s="175">
        <v>50</v>
      </c>
      <c r="G44" s="175">
        <v>220</v>
      </c>
    </row>
    <row r="45" spans="2:7" ht="12.95" customHeight="1">
      <c r="B45" s="62"/>
      <c r="C45" s="62"/>
      <c r="D45" s="170">
        <v>2017</v>
      </c>
      <c r="E45" s="175">
        <f>SUM(F45:G45)</f>
        <v>234</v>
      </c>
      <c r="F45" s="175">
        <v>44</v>
      </c>
      <c r="G45" s="175">
        <v>190</v>
      </c>
    </row>
    <row r="46" spans="2:7" ht="6" customHeight="1">
      <c r="B46" s="62"/>
      <c r="C46" s="62"/>
      <c r="D46" s="170"/>
      <c r="E46" s="175"/>
      <c r="F46" s="175"/>
      <c r="G46" s="175"/>
    </row>
    <row r="47" spans="2:7" ht="12.95" customHeight="1">
      <c r="B47" s="62" t="s">
        <v>5</v>
      </c>
      <c r="C47" s="62"/>
      <c r="D47" s="176">
        <v>2015</v>
      </c>
      <c r="E47" s="175">
        <f>SUM(F47:G47)</f>
        <v>151</v>
      </c>
      <c r="F47" s="175">
        <v>47</v>
      </c>
      <c r="G47" s="175">
        <v>104</v>
      </c>
    </row>
    <row r="48" spans="2:7" ht="12.95" customHeight="1">
      <c r="B48" s="62"/>
      <c r="C48" s="62"/>
      <c r="D48" s="176">
        <v>2016</v>
      </c>
      <c r="E48" s="175">
        <f>SUM(F48:G48)</f>
        <v>154</v>
      </c>
      <c r="F48" s="175">
        <v>42</v>
      </c>
      <c r="G48" s="175">
        <v>112</v>
      </c>
    </row>
    <row r="49" spans="1:7" ht="12.95" customHeight="1">
      <c r="B49" s="62"/>
      <c r="C49" s="62"/>
      <c r="D49" s="170">
        <v>2017</v>
      </c>
      <c r="E49" s="175">
        <f>SUM(F49:G49)</f>
        <v>151</v>
      </c>
      <c r="F49" s="175">
        <v>31</v>
      </c>
      <c r="G49" s="175">
        <v>120</v>
      </c>
    </row>
    <row r="50" spans="1:7" ht="6" customHeight="1">
      <c r="B50" s="62"/>
      <c r="C50" s="62"/>
      <c r="D50" s="170"/>
      <c r="E50" s="175"/>
      <c r="F50" s="175"/>
      <c r="G50" s="175"/>
    </row>
    <row r="51" spans="1:7" s="7" customFormat="1" ht="12.95" customHeight="1">
      <c r="B51" s="62" t="s">
        <v>6</v>
      </c>
      <c r="C51" s="62"/>
      <c r="D51" s="176">
        <v>2015</v>
      </c>
      <c r="E51" s="175">
        <f>SUM(F51:G51)</f>
        <v>396</v>
      </c>
      <c r="F51" s="175">
        <v>61</v>
      </c>
      <c r="G51" s="175">
        <v>335</v>
      </c>
    </row>
    <row r="52" spans="1:7" s="7" customFormat="1" ht="12.95" customHeight="1">
      <c r="B52" s="62"/>
      <c r="C52" s="62"/>
      <c r="D52" s="176">
        <v>2016</v>
      </c>
      <c r="E52" s="175">
        <f>SUM(F52:G52)</f>
        <v>354</v>
      </c>
      <c r="F52" s="175">
        <v>56</v>
      </c>
      <c r="G52" s="175">
        <v>298</v>
      </c>
    </row>
    <row r="53" spans="1:7" s="7" customFormat="1" ht="12.95" customHeight="1">
      <c r="B53" s="62"/>
      <c r="C53" s="62"/>
      <c r="D53" s="170">
        <v>2017</v>
      </c>
      <c r="E53" s="175">
        <f>SUM(F53:G53)</f>
        <v>298</v>
      </c>
      <c r="F53" s="175">
        <v>64</v>
      </c>
      <c r="G53" s="175">
        <v>234</v>
      </c>
    </row>
    <row r="54" spans="1:7" s="7" customFormat="1" ht="6" customHeight="1">
      <c r="B54" s="62"/>
      <c r="C54" s="62"/>
      <c r="D54" s="170"/>
      <c r="E54" s="175"/>
      <c r="F54" s="175"/>
      <c r="G54" s="175"/>
    </row>
    <row r="55" spans="1:7" s="7" customFormat="1" ht="12.95" customHeight="1">
      <c r="B55" s="62" t="s">
        <v>55</v>
      </c>
      <c r="C55" s="62"/>
      <c r="D55" s="176">
        <v>2015</v>
      </c>
      <c r="E55" s="175">
        <f>SUM(F55:G55)</f>
        <v>1060</v>
      </c>
      <c r="F55" s="175">
        <v>197</v>
      </c>
      <c r="G55" s="175">
        <v>863</v>
      </c>
    </row>
    <row r="56" spans="1:7" s="7" customFormat="1" ht="12.95" customHeight="1">
      <c r="B56" s="62"/>
      <c r="C56" s="62"/>
      <c r="D56" s="176">
        <v>2016</v>
      </c>
      <c r="E56" s="175">
        <f>SUM(F56:G56)</f>
        <v>982</v>
      </c>
      <c r="F56" s="175">
        <v>194</v>
      </c>
      <c r="G56" s="175">
        <v>788</v>
      </c>
    </row>
    <row r="57" spans="1:7" s="7" customFormat="1" ht="12.95" customHeight="1">
      <c r="B57" s="62"/>
      <c r="C57" s="62"/>
      <c r="D57" s="170">
        <v>2017</v>
      </c>
      <c r="E57" s="175">
        <f>SUM(F57:G57)</f>
        <v>4</v>
      </c>
      <c r="F57" s="173">
        <v>1</v>
      </c>
      <c r="G57" s="175">
        <v>3</v>
      </c>
    </row>
    <row r="58" spans="1:7" s="7" customFormat="1" ht="6" customHeight="1">
      <c r="B58" s="62"/>
      <c r="C58" s="62"/>
      <c r="D58" s="170"/>
      <c r="E58" s="175"/>
      <c r="F58" s="175"/>
      <c r="G58" s="175"/>
    </row>
    <row r="59" spans="1:7" s="7" customFormat="1" ht="12.95" customHeight="1">
      <c r="B59" s="62" t="s">
        <v>7</v>
      </c>
      <c r="C59" s="62"/>
      <c r="D59" s="176">
        <v>2015</v>
      </c>
      <c r="E59" s="175">
        <f>SUM(F59:G59)</f>
        <v>304</v>
      </c>
      <c r="F59" s="175">
        <v>57</v>
      </c>
      <c r="G59" s="175">
        <v>247</v>
      </c>
    </row>
    <row r="60" spans="1:7" s="7" customFormat="1" ht="12.95" customHeight="1">
      <c r="B60" s="62"/>
      <c r="C60" s="62"/>
      <c r="D60" s="176">
        <v>2016</v>
      </c>
      <c r="E60" s="175">
        <f>SUM(F60:G60)</f>
        <v>293</v>
      </c>
      <c r="F60" s="175">
        <v>63</v>
      </c>
      <c r="G60" s="175">
        <v>230</v>
      </c>
    </row>
    <row r="61" spans="1:7" s="7" customFormat="1" ht="12.95" customHeight="1">
      <c r="B61" s="62"/>
      <c r="C61" s="62"/>
      <c r="D61" s="170">
        <v>2017</v>
      </c>
      <c r="E61" s="175">
        <f>SUM(F61:G61)</f>
        <v>286</v>
      </c>
      <c r="F61" s="175">
        <v>39</v>
      </c>
      <c r="G61" s="175">
        <v>247</v>
      </c>
    </row>
    <row r="62" spans="1:7" s="7" customFormat="1" ht="6" customHeight="1">
      <c r="B62" s="62"/>
      <c r="C62" s="62"/>
      <c r="D62" s="170"/>
      <c r="E62" s="175"/>
      <c r="F62" s="175"/>
      <c r="G62" s="175"/>
    </row>
    <row r="63" spans="1:7" s="7" customFormat="1" ht="12.95" customHeight="1">
      <c r="B63" s="62" t="s">
        <v>8</v>
      </c>
      <c r="C63" s="62"/>
      <c r="D63" s="176">
        <v>2015</v>
      </c>
      <c r="E63" s="175">
        <f>SUM(F63:G63)</f>
        <v>384</v>
      </c>
      <c r="F63" s="175">
        <v>49</v>
      </c>
      <c r="G63" s="175">
        <v>335</v>
      </c>
    </row>
    <row r="64" spans="1:7" s="7" customFormat="1" ht="12.95" customHeight="1">
      <c r="A64" s="14"/>
      <c r="B64" s="62"/>
      <c r="C64" s="62"/>
      <c r="D64" s="170">
        <v>2016</v>
      </c>
      <c r="E64" s="175">
        <f>SUM(F64:G64)</f>
        <v>352</v>
      </c>
      <c r="F64" s="175">
        <v>57</v>
      </c>
      <c r="G64" s="175">
        <v>295</v>
      </c>
    </row>
    <row r="65" spans="1:8" ht="12.95" customHeight="1">
      <c r="B65" s="62"/>
      <c r="C65" s="62"/>
      <c r="D65" s="170">
        <v>2017</v>
      </c>
      <c r="E65" s="175">
        <f>SUM(F65:G65)</f>
        <v>370</v>
      </c>
      <c r="F65" s="175">
        <v>45</v>
      </c>
      <c r="G65" s="175">
        <v>325</v>
      </c>
    </row>
    <row r="66" spans="1:8" ht="6" customHeight="1">
      <c r="B66" s="62"/>
      <c r="C66" s="62"/>
      <c r="D66" s="170"/>
      <c r="E66" s="175"/>
      <c r="F66" s="175"/>
      <c r="G66" s="175"/>
    </row>
    <row r="67" spans="1:8" ht="12.95" customHeight="1">
      <c r="B67" s="62" t="s">
        <v>56</v>
      </c>
      <c r="C67" s="61"/>
      <c r="D67" s="176">
        <v>2015</v>
      </c>
      <c r="E67" s="175">
        <f>SUM(F67:G67)</f>
        <v>1904</v>
      </c>
      <c r="F67" s="175">
        <v>304</v>
      </c>
      <c r="G67" s="175">
        <v>1600</v>
      </c>
    </row>
    <row r="68" spans="1:8" ht="12.95" customHeight="1">
      <c r="B68" s="62"/>
      <c r="C68" s="62"/>
      <c r="D68" s="176">
        <v>2016</v>
      </c>
      <c r="E68" s="175">
        <f>SUM(F68:G68)</f>
        <v>1801</v>
      </c>
      <c r="F68" s="175">
        <v>273</v>
      </c>
      <c r="G68" s="175">
        <v>1528</v>
      </c>
    </row>
    <row r="69" spans="1:8" ht="12.95" customHeight="1">
      <c r="A69" s="7"/>
      <c r="B69" s="62"/>
      <c r="C69" s="62"/>
      <c r="D69" s="170">
        <v>2017</v>
      </c>
      <c r="E69" s="175">
        <f>SUM(F69:G69)</f>
        <v>1474</v>
      </c>
      <c r="F69" s="175">
        <v>253</v>
      </c>
      <c r="G69" s="175">
        <v>1221</v>
      </c>
      <c r="H69" s="7"/>
    </row>
    <row r="70" spans="1:8" ht="6" customHeight="1" thickBot="1">
      <c r="A70" s="34"/>
      <c r="B70" s="64"/>
      <c r="C70" s="64"/>
      <c r="D70" s="64"/>
      <c r="E70" s="65"/>
      <c r="F70" s="65"/>
      <c r="G70" s="65"/>
      <c r="H70" s="34"/>
    </row>
    <row r="71" spans="1:8">
      <c r="G71" s="183" t="s">
        <v>104</v>
      </c>
    </row>
    <row r="72" spans="1:8">
      <c r="G72" s="184" t="s">
        <v>1</v>
      </c>
    </row>
    <row r="73" spans="1:8">
      <c r="G73" s="182" t="s">
        <v>187</v>
      </c>
    </row>
  </sheetData>
  <mergeCells count="6">
    <mergeCell ref="C6:G6"/>
    <mergeCell ref="E8:E9"/>
    <mergeCell ref="F8:F9"/>
    <mergeCell ref="G8:G9"/>
    <mergeCell ref="B8:C9"/>
    <mergeCell ref="D8:D9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0" fitToWidth="0" orientation="portrait" r:id="rId1"/>
  <headerFooter>
    <oddHeader xml:space="preserve">&amp;R&amp;"-,Bold"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62"/>
  <sheetViews>
    <sheetView showGridLines="0" zoomScaleNormal="100" zoomScaleSheetLayoutView="100" workbookViewId="0">
      <selection activeCell="O30" sqref="O30"/>
    </sheetView>
  </sheetViews>
  <sheetFormatPr defaultRowHeight="15"/>
  <cols>
    <col min="1" max="1" width="1.42578125" style="2" customWidth="1"/>
    <col min="2" max="2" width="10" style="3" customWidth="1"/>
    <col min="3" max="3" width="9.7109375" style="3" customWidth="1"/>
    <col min="4" max="4" width="11.42578125" style="3" customWidth="1"/>
    <col min="5" max="5" width="12.28515625" style="21" customWidth="1"/>
    <col min="6" max="8" width="12.28515625" style="22" customWidth="1"/>
    <col min="9" max="9" width="16.28515625" style="5" customWidth="1"/>
    <col min="10" max="10" width="0.85546875" style="2" customWidth="1"/>
    <col min="11" max="16384" width="9.140625" style="2"/>
  </cols>
  <sheetData>
    <row r="1" spans="1:11" ht="9.9499999999999993" customHeight="1">
      <c r="B1" s="3" t="s">
        <v>224</v>
      </c>
    </row>
    <row r="2" spans="1:11" s="30" customFormat="1" ht="12.95" customHeight="1">
      <c r="B2" s="27"/>
      <c r="C2" s="27"/>
      <c r="D2" s="29"/>
      <c r="E2" s="28"/>
      <c r="F2" s="29"/>
      <c r="I2" s="199" t="s">
        <v>188</v>
      </c>
      <c r="J2" s="29"/>
    </row>
    <row r="3" spans="1:11" s="30" customFormat="1" ht="12.95" customHeight="1">
      <c r="B3" s="27"/>
      <c r="C3" s="27"/>
      <c r="D3" s="29"/>
      <c r="E3" s="28"/>
      <c r="F3" s="29"/>
      <c r="I3" s="75" t="s">
        <v>189</v>
      </c>
      <c r="J3" s="29"/>
    </row>
    <row r="4" spans="1:11" s="30" customFormat="1" ht="12" customHeight="1">
      <c r="B4" s="27"/>
      <c r="C4" s="27"/>
      <c r="D4" s="29"/>
      <c r="E4" s="28"/>
      <c r="F4" s="29"/>
      <c r="G4" s="75"/>
      <c r="J4" s="29"/>
    </row>
    <row r="5" spans="1:11" s="30" customFormat="1" ht="12" customHeight="1">
      <c r="B5" s="27"/>
      <c r="C5" s="27"/>
      <c r="D5" s="29"/>
      <c r="E5" s="28"/>
      <c r="F5" s="29"/>
      <c r="G5" s="75"/>
      <c r="J5" s="29"/>
    </row>
    <row r="6" spans="1:11" s="55" customFormat="1" ht="9.75" customHeight="1">
      <c r="B6" s="124"/>
      <c r="C6" s="124"/>
      <c r="D6" s="265"/>
      <c r="E6" s="266"/>
      <c r="F6" s="265"/>
      <c r="G6" s="265"/>
      <c r="H6" s="267"/>
      <c r="I6" s="265"/>
      <c r="J6" s="123"/>
    </row>
    <row r="7" spans="1:11" s="55" customFormat="1" ht="15" customHeight="1">
      <c r="B7" s="88" t="s">
        <v>225</v>
      </c>
      <c r="C7" s="71" t="s">
        <v>230</v>
      </c>
      <c r="D7" s="124"/>
      <c r="E7" s="71"/>
      <c r="F7" s="71"/>
      <c r="G7" s="71"/>
      <c r="H7" s="71"/>
      <c r="I7" s="71"/>
      <c r="J7" s="71"/>
    </row>
    <row r="8" spans="1:11" s="72" customFormat="1" ht="15" customHeight="1">
      <c r="B8" s="89" t="s">
        <v>227</v>
      </c>
      <c r="C8" s="74" t="s">
        <v>231</v>
      </c>
      <c r="E8" s="74"/>
      <c r="F8" s="74"/>
      <c r="G8" s="74"/>
      <c r="H8" s="74"/>
      <c r="I8" s="74"/>
      <c r="J8" s="74"/>
    </row>
    <row r="9" spans="1:11" s="55" customFormat="1" ht="9.9499999999999993" customHeight="1" thickBot="1">
      <c r="B9" s="124"/>
      <c r="C9" s="124"/>
      <c r="D9" s="124"/>
      <c r="E9" s="70"/>
      <c r="F9" s="123"/>
      <c r="G9" s="123"/>
      <c r="H9" s="123"/>
      <c r="I9" s="265"/>
    </row>
    <row r="10" spans="1:11" s="55" customFormat="1" ht="9.9499999999999993" customHeight="1" thickTop="1">
      <c r="A10" s="268"/>
      <c r="B10" s="269"/>
      <c r="C10" s="269"/>
      <c r="D10" s="270"/>
      <c r="E10" s="271"/>
      <c r="F10" s="272"/>
      <c r="G10" s="272"/>
      <c r="H10" s="272"/>
      <c r="I10" s="273"/>
      <c r="J10" s="268"/>
    </row>
    <row r="11" spans="1:11" s="55" customFormat="1" ht="21" customHeight="1">
      <c r="A11" s="249"/>
      <c r="B11" s="274" t="s">
        <v>229</v>
      </c>
      <c r="C11" s="274"/>
      <c r="D11" s="253" t="s">
        <v>100</v>
      </c>
      <c r="E11" s="253" t="s">
        <v>95</v>
      </c>
      <c r="F11" s="275" t="s">
        <v>207</v>
      </c>
      <c r="G11" s="275" t="s">
        <v>208</v>
      </c>
      <c r="H11" s="275" t="s">
        <v>209</v>
      </c>
      <c r="I11" s="275" t="s">
        <v>210</v>
      </c>
      <c r="J11" s="276"/>
    </row>
    <row r="12" spans="1:11" s="55" customFormat="1" ht="15.75" customHeight="1">
      <c r="A12" s="277"/>
      <c r="B12" s="278"/>
      <c r="C12" s="278"/>
      <c r="D12" s="259"/>
      <c r="E12" s="259"/>
      <c r="F12" s="279"/>
      <c r="G12" s="279"/>
      <c r="H12" s="279"/>
      <c r="I12" s="279"/>
      <c r="J12" s="56"/>
    </row>
    <row r="13" spans="1:11" s="55" customFormat="1" ht="8.1" customHeight="1">
      <c r="A13" s="125"/>
      <c r="B13" s="243"/>
      <c r="C13" s="243"/>
      <c r="D13" s="99"/>
      <c r="E13" s="99"/>
      <c r="F13" s="280"/>
      <c r="G13" s="280"/>
      <c r="H13" s="280"/>
      <c r="I13" s="280"/>
      <c r="J13" s="95"/>
    </row>
    <row r="14" spans="1:11" s="125" customFormat="1" ht="12.95" customHeight="1">
      <c r="B14" s="133" t="s">
        <v>196</v>
      </c>
      <c r="C14" s="133"/>
      <c r="D14" s="130">
        <v>2015</v>
      </c>
      <c r="E14" s="174">
        <f>SUM(F14:I14)</f>
        <v>644</v>
      </c>
      <c r="F14" s="174">
        <v>12</v>
      </c>
      <c r="G14" s="174">
        <v>180</v>
      </c>
      <c r="H14" s="174">
        <v>176</v>
      </c>
      <c r="I14" s="174">
        <v>276</v>
      </c>
      <c r="K14" s="288"/>
    </row>
    <row r="15" spans="1:11" s="125" customFormat="1" ht="12.95" customHeight="1">
      <c r="B15" s="133"/>
      <c r="C15" s="133"/>
      <c r="D15" s="130">
        <v>2016</v>
      </c>
      <c r="E15" s="174">
        <f>SUM(F15:I15)</f>
        <v>543</v>
      </c>
      <c r="F15" s="174">
        <v>10</v>
      </c>
      <c r="G15" s="174">
        <v>144</v>
      </c>
      <c r="H15" s="174">
        <v>98</v>
      </c>
      <c r="I15" s="174">
        <v>291</v>
      </c>
    </row>
    <row r="16" spans="1:11" s="125" customFormat="1" ht="12.95" customHeight="1">
      <c r="B16" s="133"/>
      <c r="C16" s="133"/>
      <c r="D16" s="130">
        <v>2017</v>
      </c>
      <c r="E16" s="174">
        <f>SUM(F16:I16)</f>
        <v>600</v>
      </c>
      <c r="F16" s="174">
        <f>F24+F32+F36+F40+F44+F48+F52+F56</f>
        <v>13</v>
      </c>
      <c r="G16" s="174">
        <f t="shared" ref="G16:I16" si="0">G20+G24+G28+G32+G36+G40+G44+G48+G52+G56</f>
        <v>114</v>
      </c>
      <c r="H16" s="174">
        <f t="shared" si="0"/>
        <v>221</v>
      </c>
      <c r="I16" s="174">
        <f t="shared" si="0"/>
        <v>252</v>
      </c>
    </row>
    <row r="17" spans="2:9" s="125" customFormat="1" ht="8.1" customHeight="1">
      <c r="B17" s="133"/>
      <c r="C17" s="133"/>
      <c r="D17" s="130"/>
      <c r="E17" s="174"/>
      <c r="F17" s="174"/>
      <c r="G17" s="174"/>
      <c r="H17" s="174"/>
      <c r="I17" s="174"/>
    </row>
    <row r="18" spans="2:9" s="125" customFormat="1" ht="12.95" customHeight="1">
      <c r="B18" s="91" t="s">
        <v>11</v>
      </c>
      <c r="C18" s="91"/>
      <c r="D18" s="177">
        <v>2015</v>
      </c>
      <c r="E18" s="175">
        <f>SUM(F18:I18)</f>
        <v>87</v>
      </c>
      <c r="F18" s="175">
        <v>3</v>
      </c>
      <c r="G18" s="175">
        <v>25</v>
      </c>
      <c r="H18" s="175">
        <v>8</v>
      </c>
      <c r="I18" s="175">
        <v>51</v>
      </c>
    </row>
    <row r="19" spans="2:9" s="125" customFormat="1" ht="12.95" customHeight="1">
      <c r="B19" s="91"/>
      <c r="C19" s="91"/>
      <c r="D19" s="177">
        <v>2016</v>
      </c>
      <c r="E19" s="175">
        <f>SUM(F19:I19)</f>
        <v>85</v>
      </c>
      <c r="F19" s="175">
        <v>1</v>
      </c>
      <c r="G19" s="175">
        <v>21</v>
      </c>
      <c r="H19" s="175">
        <v>9</v>
      </c>
      <c r="I19" s="175">
        <v>54</v>
      </c>
    </row>
    <row r="20" spans="2:9" s="125" customFormat="1" ht="12.95" customHeight="1">
      <c r="B20" s="91"/>
      <c r="C20" s="91"/>
      <c r="D20" s="177">
        <v>2017</v>
      </c>
      <c r="E20" s="175">
        <f>SUM(F20:I20)</f>
        <v>56</v>
      </c>
      <c r="F20" s="173" t="s">
        <v>51</v>
      </c>
      <c r="G20" s="175">
        <v>16</v>
      </c>
      <c r="H20" s="175">
        <v>7</v>
      </c>
      <c r="I20" s="175">
        <v>33</v>
      </c>
    </row>
    <row r="21" spans="2:9" s="125" customFormat="1" ht="8.1" customHeight="1">
      <c r="B21" s="91"/>
      <c r="C21" s="91"/>
      <c r="D21" s="177"/>
      <c r="E21" s="175"/>
      <c r="F21" s="173"/>
      <c r="G21" s="175"/>
      <c r="H21" s="175"/>
      <c r="I21" s="175"/>
    </row>
    <row r="22" spans="2:9" s="125" customFormat="1" ht="12.95" customHeight="1">
      <c r="B22" s="91" t="s">
        <v>18</v>
      </c>
      <c r="C22" s="91"/>
      <c r="D22" s="177">
        <v>2015</v>
      </c>
      <c r="E22" s="175">
        <f>SUM(F22:I22)</f>
        <v>31</v>
      </c>
      <c r="F22" s="169">
        <v>2</v>
      </c>
      <c r="G22" s="170">
        <v>6</v>
      </c>
      <c r="H22" s="170" t="s">
        <v>51</v>
      </c>
      <c r="I22" s="170">
        <v>23</v>
      </c>
    </row>
    <row r="23" spans="2:9" s="125" customFormat="1" ht="12.95" customHeight="1">
      <c r="B23" s="91"/>
      <c r="C23" s="91"/>
      <c r="D23" s="177">
        <v>2016</v>
      </c>
      <c r="E23" s="175">
        <f>SUM(F23:I23)</f>
        <v>41</v>
      </c>
      <c r="F23" s="169">
        <v>3</v>
      </c>
      <c r="G23" s="170">
        <v>8</v>
      </c>
      <c r="H23" s="170">
        <v>3</v>
      </c>
      <c r="I23" s="170">
        <v>27</v>
      </c>
    </row>
    <row r="24" spans="2:9" s="125" customFormat="1" ht="12.95" customHeight="1">
      <c r="B24" s="91"/>
      <c r="C24" s="91"/>
      <c r="D24" s="177">
        <v>2017</v>
      </c>
      <c r="E24" s="175">
        <f>SUM(F24:I24)</f>
        <v>34</v>
      </c>
      <c r="F24" s="169">
        <v>2</v>
      </c>
      <c r="G24" s="170">
        <v>7</v>
      </c>
      <c r="H24" s="170">
        <v>8</v>
      </c>
      <c r="I24" s="170">
        <v>17</v>
      </c>
    </row>
    <row r="25" spans="2:9" s="125" customFormat="1" ht="8.1" customHeight="1">
      <c r="B25" s="91"/>
      <c r="C25" s="91"/>
      <c r="D25" s="177"/>
      <c r="E25" s="175"/>
      <c r="F25" s="169"/>
      <c r="G25" s="170"/>
      <c r="H25" s="170"/>
      <c r="I25" s="170"/>
    </row>
    <row r="26" spans="2:9" s="125" customFormat="1" ht="12.95" customHeight="1">
      <c r="B26" s="91" t="s">
        <v>20</v>
      </c>
      <c r="C26" s="91"/>
      <c r="D26" s="177">
        <v>2015</v>
      </c>
      <c r="E26" s="175">
        <f>SUM(F26:I26)</f>
        <v>12</v>
      </c>
      <c r="F26" s="175">
        <v>1</v>
      </c>
      <c r="G26" s="175">
        <v>2</v>
      </c>
      <c r="H26" s="175">
        <v>2</v>
      </c>
      <c r="I26" s="175">
        <v>7</v>
      </c>
    </row>
    <row r="27" spans="2:9" s="125" customFormat="1" ht="12.95" customHeight="1">
      <c r="B27" s="91"/>
      <c r="C27" s="91"/>
      <c r="D27" s="177">
        <v>2016</v>
      </c>
      <c r="E27" s="175">
        <f>SUM(F27:I27)</f>
        <v>8</v>
      </c>
      <c r="F27" s="175" t="s">
        <v>51</v>
      </c>
      <c r="G27" s="175">
        <v>5</v>
      </c>
      <c r="H27" s="175">
        <v>1</v>
      </c>
      <c r="I27" s="175">
        <v>2</v>
      </c>
    </row>
    <row r="28" spans="2:9" s="125" customFormat="1" ht="12.95" customHeight="1">
      <c r="B28" s="91"/>
      <c r="C28" s="91"/>
      <c r="D28" s="177">
        <v>2017</v>
      </c>
      <c r="E28" s="175">
        <f>SUM(F28:I28)</f>
        <v>6</v>
      </c>
      <c r="F28" s="173" t="s">
        <v>51</v>
      </c>
      <c r="G28" s="175">
        <v>4</v>
      </c>
      <c r="H28" s="173">
        <v>1</v>
      </c>
      <c r="I28" s="175">
        <v>1</v>
      </c>
    </row>
    <row r="29" spans="2:9" s="125" customFormat="1" ht="12.95" customHeight="1">
      <c r="B29" s="91"/>
      <c r="C29" s="91"/>
      <c r="D29" s="177"/>
      <c r="E29" s="175"/>
      <c r="F29" s="173"/>
      <c r="G29" s="175"/>
      <c r="H29" s="173"/>
      <c r="I29" s="175"/>
    </row>
    <row r="30" spans="2:9" s="125" customFormat="1" ht="12.95" customHeight="1">
      <c r="B30" s="91" t="s">
        <v>12</v>
      </c>
      <c r="C30" s="91"/>
      <c r="D30" s="177">
        <v>2015</v>
      </c>
      <c r="E30" s="175">
        <f>SUM(F30:I30)</f>
        <v>196</v>
      </c>
      <c r="F30" s="169">
        <v>1</v>
      </c>
      <c r="G30" s="170">
        <v>33</v>
      </c>
      <c r="H30" s="170">
        <v>99</v>
      </c>
      <c r="I30" s="170">
        <v>63</v>
      </c>
    </row>
    <row r="31" spans="2:9" s="125" customFormat="1" ht="12.95" customHeight="1">
      <c r="B31" s="91"/>
      <c r="C31" s="91"/>
      <c r="D31" s="177">
        <v>2016</v>
      </c>
      <c r="E31" s="175">
        <f>SUM(F31:I31)</f>
        <v>128</v>
      </c>
      <c r="F31" s="169" t="s">
        <v>51</v>
      </c>
      <c r="G31" s="170">
        <v>35</v>
      </c>
      <c r="H31" s="170">
        <v>35</v>
      </c>
      <c r="I31" s="170">
        <v>58</v>
      </c>
    </row>
    <row r="32" spans="2:9" s="125" customFormat="1" ht="12.95" customHeight="1">
      <c r="B32" s="91"/>
      <c r="C32" s="91"/>
      <c r="D32" s="177">
        <v>2017</v>
      </c>
      <c r="E32" s="175">
        <f>SUM(F32:I32)</f>
        <v>188</v>
      </c>
      <c r="F32" s="169">
        <v>3</v>
      </c>
      <c r="G32" s="170">
        <v>28</v>
      </c>
      <c r="H32" s="170">
        <v>101</v>
      </c>
      <c r="I32" s="170">
        <v>56</v>
      </c>
    </row>
    <row r="33" spans="2:9" s="125" customFormat="1" ht="12.95" customHeight="1">
      <c r="B33" s="91"/>
      <c r="C33" s="91"/>
      <c r="D33" s="177"/>
      <c r="E33" s="175"/>
      <c r="F33" s="169"/>
      <c r="G33" s="170"/>
      <c r="H33" s="170"/>
      <c r="I33" s="170"/>
    </row>
    <row r="34" spans="2:9" s="125" customFormat="1" ht="12.95" customHeight="1">
      <c r="B34" s="91" t="s">
        <v>19</v>
      </c>
      <c r="C34" s="91"/>
      <c r="D34" s="177">
        <v>2015</v>
      </c>
      <c r="E34" s="175">
        <f>SUM(F34:I34)</f>
        <v>36</v>
      </c>
      <c r="F34" s="175" t="s">
        <v>51</v>
      </c>
      <c r="G34" s="175">
        <v>13</v>
      </c>
      <c r="H34" s="175">
        <v>6</v>
      </c>
      <c r="I34" s="175">
        <v>17</v>
      </c>
    </row>
    <row r="35" spans="2:9" s="125" customFormat="1" ht="12.95" customHeight="1">
      <c r="B35" s="91"/>
      <c r="C35" s="91"/>
      <c r="D35" s="177">
        <v>2016</v>
      </c>
      <c r="E35" s="175">
        <f>SUM(F35:I35)</f>
        <v>47</v>
      </c>
      <c r="F35" s="175">
        <v>1</v>
      </c>
      <c r="G35" s="175">
        <v>15</v>
      </c>
      <c r="H35" s="175">
        <v>7</v>
      </c>
      <c r="I35" s="175">
        <v>24</v>
      </c>
    </row>
    <row r="36" spans="2:9" s="125" customFormat="1" ht="12.95" customHeight="1">
      <c r="B36" s="91"/>
      <c r="C36" s="91"/>
      <c r="D36" s="177">
        <v>2017</v>
      </c>
      <c r="E36" s="175">
        <f>SUM(F36:I36)</f>
        <v>44</v>
      </c>
      <c r="F36" s="175">
        <v>1</v>
      </c>
      <c r="G36" s="175">
        <v>6</v>
      </c>
      <c r="H36" s="175">
        <v>11</v>
      </c>
      <c r="I36" s="175">
        <v>26</v>
      </c>
    </row>
    <row r="37" spans="2:9" s="125" customFormat="1" ht="12.95" customHeight="1">
      <c r="B37" s="91"/>
      <c r="C37" s="91"/>
      <c r="D37" s="177"/>
      <c r="E37" s="175"/>
      <c r="F37" s="175"/>
      <c r="G37" s="175"/>
      <c r="H37" s="175"/>
      <c r="I37" s="175"/>
    </row>
    <row r="38" spans="2:9" s="125" customFormat="1" ht="12.95" customHeight="1">
      <c r="B38" s="91" t="s">
        <v>13</v>
      </c>
      <c r="C38" s="91"/>
      <c r="D38" s="177">
        <v>2015</v>
      </c>
      <c r="E38" s="175">
        <f>SUM(F38:I38)</f>
        <v>39</v>
      </c>
      <c r="F38" s="169">
        <v>1</v>
      </c>
      <c r="G38" s="170">
        <v>14</v>
      </c>
      <c r="H38" s="170">
        <v>14</v>
      </c>
      <c r="I38" s="170">
        <v>10</v>
      </c>
    </row>
    <row r="39" spans="2:9" s="125" customFormat="1" ht="12.95" customHeight="1">
      <c r="B39" s="91"/>
      <c r="C39" s="91"/>
      <c r="D39" s="177">
        <v>2016</v>
      </c>
      <c r="E39" s="175">
        <f>SUM(F39:I39)</f>
        <v>21</v>
      </c>
      <c r="F39" s="169" t="s">
        <v>51</v>
      </c>
      <c r="G39" s="170">
        <v>7</v>
      </c>
      <c r="H39" s="170">
        <v>3</v>
      </c>
      <c r="I39" s="170">
        <v>11</v>
      </c>
    </row>
    <row r="40" spans="2:9" s="125" customFormat="1" ht="12.95" customHeight="1">
      <c r="B40" s="91"/>
      <c r="C40" s="91"/>
      <c r="D40" s="177">
        <v>2017</v>
      </c>
      <c r="E40" s="175">
        <f>SUM(F40:I40)</f>
        <v>38</v>
      </c>
      <c r="F40" s="169">
        <v>1</v>
      </c>
      <c r="G40" s="170">
        <v>5</v>
      </c>
      <c r="H40" s="170">
        <v>15</v>
      </c>
      <c r="I40" s="170">
        <v>17</v>
      </c>
    </row>
    <row r="41" spans="2:9" s="125" customFormat="1" ht="12.95" customHeight="1">
      <c r="B41" s="91"/>
      <c r="C41" s="91"/>
      <c r="D41" s="177"/>
      <c r="E41" s="175"/>
      <c r="F41" s="169"/>
      <c r="G41" s="170"/>
      <c r="H41" s="170"/>
      <c r="I41" s="170"/>
    </row>
    <row r="42" spans="2:9" s="125" customFormat="1" ht="12.95" customHeight="1">
      <c r="B42" s="91" t="s">
        <v>14</v>
      </c>
      <c r="C42" s="91"/>
      <c r="D42" s="177">
        <v>2015</v>
      </c>
      <c r="E42" s="175">
        <f>SUM(F42:I42)</f>
        <v>76</v>
      </c>
      <c r="F42" s="175">
        <v>1</v>
      </c>
      <c r="G42" s="175">
        <v>26</v>
      </c>
      <c r="H42" s="175">
        <v>12</v>
      </c>
      <c r="I42" s="175">
        <v>37</v>
      </c>
    </row>
    <row r="43" spans="2:9" s="125" customFormat="1" ht="12.95" customHeight="1">
      <c r="B43" s="91"/>
      <c r="C43" s="91"/>
      <c r="D43" s="177">
        <v>2016</v>
      </c>
      <c r="E43" s="175">
        <f>SUM(F43:I43)</f>
        <v>65</v>
      </c>
      <c r="F43" s="175">
        <v>3</v>
      </c>
      <c r="G43" s="175">
        <v>21</v>
      </c>
      <c r="H43" s="175">
        <v>9</v>
      </c>
      <c r="I43" s="175">
        <v>32</v>
      </c>
    </row>
    <row r="44" spans="2:9" s="125" customFormat="1" ht="12.95" customHeight="1">
      <c r="B44" s="91"/>
      <c r="C44" s="91"/>
      <c r="D44" s="177">
        <v>2017</v>
      </c>
      <c r="E44" s="175">
        <f>SUM(F44:I44)</f>
        <v>56</v>
      </c>
      <c r="F44" s="175">
        <v>1</v>
      </c>
      <c r="G44" s="175">
        <v>12</v>
      </c>
      <c r="H44" s="175">
        <v>18</v>
      </c>
      <c r="I44" s="175">
        <v>25</v>
      </c>
    </row>
    <row r="45" spans="2:9" s="125" customFormat="1" ht="12.95" customHeight="1">
      <c r="B45" s="91"/>
      <c r="C45" s="91"/>
      <c r="D45" s="177"/>
      <c r="E45" s="175"/>
      <c r="F45" s="175"/>
      <c r="G45" s="175"/>
      <c r="H45" s="175"/>
      <c r="I45" s="175"/>
    </row>
    <row r="46" spans="2:9" s="125" customFormat="1" ht="12.95" customHeight="1">
      <c r="B46" s="91" t="s">
        <v>15</v>
      </c>
      <c r="C46" s="91"/>
      <c r="D46" s="177">
        <v>2015</v>
      </c>
      <c r="E46" s="175">
        <f>SUM(F46:I46)</f>
        <v>77</v>
      </c>
      <c r="F46" s="169">
        <v>2</v>
      </c>
      <c r="G46" s="170">
        <v>23</v>
      </c>
      <c r="H46" s="170">
        <v>16</v>
      </c>
      <c r="I46" s="170">
        <v>36</v>
      </c>
    </row>
    <row r="47" spans="2:9" s="125" customFormat="1" ht="12.95" customHeight="1">
      <c r="B47" s="91"/>
      <c r="C47" s="91"/>
      <c r="D47" s="177">
        <v>2016</v>
      </c>
      <c r="E47" s="175">
        <f>SUM(F47:I47)</f>
        <v>65</v>
      </c>
      <c r="F47" s="169" t="s">
        <v>51</v>
      </c>
      <c r="G47" s="170">
        <v>12</v>
      </c>
      <c r="H47" s="170">
        <v>17</v>
      </c>
      <c r="I47" s="170">
        <v>36</v>
      </c>
    </row>
    <row r="48" spans="2:9" s="125" customFormat="1" ht="12.95" customHeight="1">
      <c r="B48" s="91"/>
      <c r="C48" s="91"/>
      <c r="D48" s="177">
        <v>2017</v>
      </c>
      <c r="E48" s="175">
        <f>SUM(F48:I48)</f>
        <v>61</v>
      </c>
      <c r="F48" s="169">
        <v>1</v>
      </c>
      <c r="G48" s="170">
        <v>8</v>
      </c>
      <c r="H48" s="170">
        <v>22</v>
      </c>
      <c r="I48" s="170">
        <v>30</v>
      </c>
    </row>
    <row r="49" spans="1:10" s="125" customFormat="1" ht="12.95" customHeight="1">
      <c r="B49" s="91"/>
      <c r="C49" s="91"/>
      <c r="D49" s="177"/>
      <c r="E49" s="175"/>
      <c r="F49" s="169"/>
      <c r="G49" s="170"/>
      <c r="H49" s="170"/>
      <c r="I49" s="170"/>
    </row>
    <row r="50" spans="1:10" s="125" customFormat="1" ht="12.95" customHeight="1">
      <c r="B50" s="91" t="s">
        <v>16</v>
      </c>
      <c r="C50" s="91"/>
      <c r="D50" s="177">
        <v>2015</v>
      </c>
      <c r="E50" s="175">
        <f>SUM(F50:I50)</f>
        <v>35</v>
      </c>
      <c r="F50" s="175" t="s">
        <v>51</v>
      </c>
      <c r="G50" s="175">
        <v>18</v>
      </c>
      <c r="H50" s="175">
        <v>3</v>
      </c>
      <c r="I50" s="175">
        <v>14</v>
      </c>
    </row>
    <row r="51" spans="1:10" s="125" customFormat="1" ht="12.95" customHeight="1">
      <c r="B51" s="91"/>
      <c r="C51" s="91"/>
      <c r="D51" s="177">
        <v>2016</v>
      </c>
      <c r="E51" s="175">
        <f>SUM(F51:I51)</f>
        <v>34</v>
      </c>
      <c r="F51" s="175">
        <v>1</v>
      </c>
      <c r="G51" s="175">
        <v>10</v>
      </c>
      <c r="H51" s="175">
        <v>1</v>
      </c>
      <c r="I51" s="175">
        <v>22</v>
      </c>
    </row>
    <row r="52" spans="1:10" s="125" customFormat="1" ht="12.95" customHeight="1">
      <c r="B52" s="91"/>
      <c r="C52" s="91"/>
      <c r="D52" s="177">
        <v>2017</v>
      </c>
      <c r="E52" s="175">
        <f>SUM(F52:I52)</f>
        <v>55</v>
      </c>
      <c r="F52" s="175">
        <v>1</v>
      </c>
      <c r="G52" s="175">
        <v>16</v>
      </c>
      <c r="H52" s="175">
        <v>10</v>
      </c>
      <c r="I52" s="175">
        <v>28</v>
      </c>
    </row>
    <row r="53" spans="1:10" s="125" customFormat="1" ht="12.95" customHeight="1">
      <c r="B53" s="91"/>
      <c r="C53" s="91"/>
      <c r="D53" s="177"/>
      <c r="E53" s="175"/>
      <c r="F53" s="175"/>
      <c r="G53" s="175"/>
      <c r="H53" s="175"/>
      <c r="I53" s="175"/>
    </row>
    <row r="54" spans="1:10" s="55" customFormat="1" ht="12.95" customHeight="1">
      <c r="B54" s="91" t="s">
        <v>17</v>
      </c>
      <c r="C54" s="91"/>
      <c r="D54" s="177">
        <v>2015</v>
      </c>
      <c r="E54" s="175">
        <f>SUM(F54:I54)</f>
        <v>55</v>
      </c>
      <c r="F54" s="170">
        <v>1</v>
      </c>
      <c r="G54" s="170">
        <v>20</v>
      </c>
      <c r="H54" s="170">
        <v>16</v>
      </c>
      <c r="I54" s="170">
        <v>18</v>
      </c>
    </row>
    <row r="55" spans="1:10" s="55" customFormat="1" ht="12.95" customHeight="1">
      <c r="B55" s="91"/>
      <c r="C55" s="91"/>
      <c r="D55" s="177">
        <v>2016</v>
      </c>
      <c r="E55" s="175">
        <f>SUM(F55:I55)</f>
        <v>49</v>
      </c>
      <c r="F55" s="169">
        <v>1</v>
      </c>
      <c r="G55" s="170">
        <v>10</v>
      </c>
      <c r="H55" s="170">
        <v>13</v>
      </c>
      <c r="I55" s="170">
        <v>25</v>
      </c>
    </row>
    <row r="56" spans="1:10" s="55" customFormat="1" ht="12.95" customHeight="1">
      <c r="B56" s="91"/>
      <c r="C56" s="91"/>
      <c r="D56" s="177">
        <v>2017</v>
      </c>
      <c r="E56" s="175">
        <f>SUM(F56:I56)</f>
        <v>62</v>
      </c>
      <c r="F56" s="170">
        <v>3</v>
      </c>
      <c r="G56" s="170">
        <v>12</v>
      </c>
      <c r="H56" s="170">
        <v>28</v>
      </c>
      <c r="I56" s="170">
        <v>19</v>
      </c>
    </row>
    <row r="57" spans="1:10" s="55" customFormat="1" ht="8.1" customHeight="1" thickBot="1">
      <c r="A57" s="283"/>
      <c r="B57" s="284"/>
      <c r="C57" s="284"/>
      <c r="D57" s="284"/>
      <c r="E57" s="285"/>
      <c r="F57" s="286"/>
      <c r="G57" s="286"/>
      <c r="H57" s="286"/>
      <c r="I57" s="287"/>
      <c r="J57" s="283"/>
    </row>
    <row r="58" spans="1:10" s="55" customFormat="1" ht="12.95" customHeight="1">
      <c r="B58" s="124"/>
      <c r="C58" s="124"/>
      <c r="D58" s="124"/>
      <c r="E58" s="70"/>
      <c r="F58" s="123"/>
      <c r="G58" s="123"/>
      <c r="H58" s="123"/>
      <c r="I58" s="265"/>
      <c r="J58" s="8" t="s">
        <v>104</v>
      </c>
    </row>
    <row r="59" spans="1:10" s="55" customFormat="1" ht="12.95" customHeight="1">
      <c r="B59" s="124"/>
      <c r="C59" s="124"/>
      <c r="D59" s="124"/>
      <c r="E59" s="70"/>
      <c r="F59" s="123"/>
      <c r="G59" s="123"/>
      <c r="H59" s="123"/>
      <c r="I59" s="265"/>
      <c r="J59" s="41" t="s">
        <v>1</v>
      </c>
    </row>
    <row r="60" spans="1:10" ht="12.95" customHeight="1"/>
    <row r="62" spans="1:10" ht="8.1" customHeight="1"/>
  </sheetData>
  <mergeCells count="7">
    <mergeCell ref="I11:I12"/>
    <mergeCell ref="B11:C12"/>
    <mergeCell ref="D11:D12"/>
    <mergeCell ref="E11:E12"/>
    <mergeCell ref="F11:F12"/>
    <mergeCell ref="G11:G12"/>
    <mergeCell ref="H11:H12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5" fitToWidth="0" orientation="portrait" r:id="rId1"/>
  <headerFooter>
    <oddHeader xml:space="preserve">&amp;R&amp;"-,Bold"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Q68"/>
  <sheetViews>
    <sheetView showGridLines="0" topLeftCell="A16" zoomScaleNormal="100" zoomScaleSheetLayoutView="100" workbookViewId="0">
      <selection activeCell="O30" sqref="O30"/>
    </sheetView>
  </sheetViews>
  <sheetFormatPr defaultRowHeight="15"/>
  <cols>
    <col min="1" max="1" width="2" style="2" customWidth="1"/>
    <col min="2" max="2" width="10.140625" style="3" customWidth="1"/>
    <col min="3" max="3" width="12.28515625" style="3" customWidth="1"/>
    <col min="4" max="4" width="9.140625" style="3" customWidth="1"/>
    <col min="5" max="5" width="12.42578125" style="21" customWidth="1"/>
    <col min="6" max="8" width="12.42578125" style="22" customWidth="1"/>
    <col min="9" max="9" width="16" style="5" customWidth="1"/>
    <col min="10" max="10" width="0.85546875" style="2" customWidth="1"/>
    <col min="11" max="16384" width="9.140625" style="2"/>
  </cols>
  <sheetData>
    <row r="1" spans="1:17" ht="9.9499999999999993" customHeight="1">
      <c r="B1" s="3" t="s">
        <v>224</v>
      </c>
    </row>
    <row r="2" spans="1:17" s="30" customFormat="1" ht="12.95" customHeight="1">
      <c r="B2" s="27"/>
      <c r="C2" s="27"/>
      <c r="D2" s="29"/>
      <c r="E2" s="28"/>
      <c r="F2" s="29"/>
      <c r="I2" s="199" t="s">
        <v>188</v>
      </c>
      <c r="J2" s="29"/>
    </row>
    <row r="3" spans="1:17" s="30" customFormat="1" ht="12.95" customHeight="1">
      <c r="B3" s="27"/>
      <c r="C3" s="27"/>
      <c r="D3" s="29"/>
      <c r="E3" s="28"/>
      <c r="F3" s="29"/>
      <c r="I3" s="75" t="s">
        <v>189</v>
      </c>
      <c r="J3" s="29"/>
    </row>
    <row r="4" spans="1:17" s="30" customFormat="1" ht="12" customHeight="1">
      <c r="B4" s="27"/>
      <c r="C4" s="27"/>
      <c r="D4" s="29"/>
      <c r="E4" s="28"/>
      <c r="F4" s="29"/>
      <c r="G4" s="75"/>
      <c r="J4" s="29"/>
    </row>
    <row r="5" spans="1:17" s="30" customFormat="1" ht="12" customHeight="1">
      <c r="B5" s="27"/>
      <c r="C5" s="27"/>
      <c r="D5" s="29"/>
      <c r="E5" s="28"/>
      <c r="F5" s="29"/>
      <c r="G5" s="75"/>
      <c r="J5" s="29"/>
    </row>
    <row r="6" spans="1:17" s="55" customFormat="1" ht="9.75" customHeight="1">
      <c r="B6" s="124"/>
      <c r="C6" s="124"/>
      <c r="D6" s="265"/>
      <c r="E6" s="266"/>
      <c r="F6" s="265"/>
      <c r="G6" s="265"/>
      <c r="H6" s="267"/>
      <c r="I6" s="265"/>
      <c r="J6" s="123"/>
    </row>
    <row r="7" spans="1:17" s="55" customFormat="1" ht="15" customHeight="1">
      <c r="B7" s="88" t="s">
        <v>225</v>
      </c>
      <c r="C7" s="71" t="s">
        <v>230</v>
      </c>
      <c r="D7" s="124"/>
      <c r="E7" s="71"/>
      <c r="F7" s="71"/>
      <c r="G7" s="71"/>
      <c r="H7" s="71"/>
      <c r="I7" s="71"/>
      <c r="J7" s="71"/>
    </row>
    <row r="8" spans="1:17" s="72" customFormat="1" ht="15" customHeight="1">
      <c r="B8" s="89" t="s">
        <v>227</v>
      </c>
      <c r="C8" s="74" t="s">
        <v>231</v>
      </c>
      <c r="E8" s="74"/>
      <c r="F8" s="74"/>
      <c r="G8" s="74"/>
      <c r="H8" s="74"/>
      <c r="I8" s="74"/>
      <c r="J8" s="74"/>
    </row>
    <row r="9" spans="1:17" s="55" customFormat="1" ht="9.9499999999999993" customHeight="1" thickBot="1">
      <c r="B9" s="124"/>
      <c r="C9" s="124"/>
      <c r="D9" s="124"/>
      <c r="E9" s="70"/>
      <c r="F9" s="123"/>
      <c r="G9" s="123"/>
      <c r="H9" s="123"/>
      <c r="I9" s="265"/>
    </row>
    <row r="10" spans="1:17" s="55" customFormat="1" ht="9.9499999999999993" customHeight="1" thickTop="1">
      <c r="A10" s="268"/>
      <c r="B10" s="269"/>
      <c r="C10" s="269"/>
      <c r="D10" s="270"/>
      <c r="E10" s="271"/>
      <c r="F10" s="272"/>
      <c r="G10" s="272"/>
      <c r="H10" s="272"/>
      <c r="I10" s="273"/>
      <c r="J10" s="268"/>
    </row>
    <row r="11" spans="1:17" s="55" customFormat="1" ht="21" customHeight="1">
      <c r="A11" s="249"/>
      <c r="B11" s="274" t="s">
        <v>229</v>
      </c>
      <c r="C11" s="274"/>
      <c r="D11" s="253" t="s">
        <v>100</v>
      </c>
      <c r="E11" s="253" t="s">
        <v>95</v>
      </c>
      <c r="F11" s="275" t="s">
        <v>207</v>
      </c>
      <c r="G11" s="275" t="s">
        <v>208</v>
      </c>
      <c r="H11" s="275" t="s">
        <v>209</v>
      </c>
      <c r="I11" s="275" t="s">
        <v>210</v>
      </c>
      <c r="J11" s="276"/>
    </row>
    <row r="12" spans="1:17" s="55" customFormat="1" ht="15.75" customHeight="1">
      <c r="A12" s="277"/>
      <c r="B12" s="278"/>
      <c r="C12" s="278"/>
      <c r="D12" s="259"/>
      <c r="E12" s="259"/>
      <c r="F12" s="279"/>
      <c r="G12" s="279"/>
      <c r="H12" s="279"/>
      <c r="I12" s="279"/>
      <c r="J12" s="56"/>
    </row>
    <row r="13" spans="1:17" s="55" customFormat="1" ht="8.1" customHeight="1">
      <c r="A13" s="125"/>
      <c r="B13" s="243"/>
      <c r="C13" s="243"/>
      <c r="D13" s="99"/>
      <c r="E13" s="99"/>
      <c r="F13" s="280"/>
      <c r="G13" s="280"/>
      <c r="H13" s="280"/>
      <c r="I13" s="280"/>
      <c r="J13" s="95"/>
    </row>
    <row r="14" spans="1:17" s="55" customFormat="1" ht="12.95" customHeight="1">
      <c r="B14" s="133" t="s">
        <v>197</v>
      </c>
      <c r="C14" s="133"/>
      <c r="D14" s="69">
        <v>2015</v>
      </c>
      <c r="E14" s="174">
        <f>SUM(F14:I14)</f>
        <v>586</v>
      </c>
      <c r="F14" s="174">
        <v>8</v>
      </c>
      <c r="G14" s="174">
        <v>82</v>
      </c>
      <c r="H14" s="174">
        <v>304</v>
      </c>
      <c r="I14" s="174">
        <v>192</v>
      </c>
      <c r="K14" s="289"/>
    </row>
    <row r="15" spans="1:17" s="125" customFormat="1" ht="12.95" customHeight="1">
      <c r="B15" s="133"/>
      <c r="C15" s="133"/>
      <c r="D15" s="69">
        <v>2016</v>
      </c>
      <c r="E15" s="174">
        <f>SUM(F15:I15)</f>
        <v>1154</v>
      </c>
      <c r="F15" s="174">
        <v>13</v>
      </c>
      <c r="G15" s="174">
        <v>60</v>
      </c>
      <c r="H15" s="174">
        <v>888</v>
      </c>
      <c r="I15" s="174">
        <v>193</v>
      </c>
      <c r="Q15" s="55"/>
    </row>
    <row r="16" spans="1:17" s="125" customFormat="1" ht="12.95" customHeight="1">
      <c r="B16" s="133"/>
      <c r="C16" s="133"/>
      <c r="D16" s="69">
        <v>2017</v>
      </c>
      <c r="E16" s="174">
        <f>F16+G16+H16+I16</f>
        <v>842</v>
      </c>
      <c r="F16" s="174">
        <f>F20+F24+F28</f>
        <v>7</v>
      </c>
      <c r="G16" s="174">
        <f t="shared" ref="G16:I16" si="0">G20+G24+G28</f>
        <v>69</v>
      </c>
      <c r="H16" s="174">
        <f t="shared" si="0"/>
        <v>590</v>
      </c>
      <c r="I16" s="174">
        <f t="shared" si="0"/>
        <v>176</v>
      </c>
      <c r="Q16" s="55"/>
    </row>
    <row r="17" spans="1:17" s="125" customFormat="1" ht="8.1" customHeight="1">
      <c r="B17" s="133"/>
      <c r="C17" s="133"/>
      <c r="D17" s="170"/>
      <c r="E17" s="174"/>
      <c r="F17" s="174"/>
      <c r="G17" s="174"/>
      <c r="H17" s="174"/>
      <c r="I17" s="174"/>
      <c r="Q17" s="55"/>
    </row>
    <row r="18" spans="1:17" s="55" customFormat="1" ht="12.95" customHeight="1">
      <c r="B18" s="91" t="s">
        <v>21</v>
      </c>
      <c r="C18" s="91"/>
      <c r="D18" s="170">
        <v>2015</v>
      </c>
      <c r="E18" s="175">
        <f>SUM(F18:I18)</f>
        <v>92</v>
      </c>
      <c r="F18" s="175">
        <v>2</v>
      </c>
      <c r="G18" s="175">
        <v>21</v>
      </c>
      <c r="H18" s="175">
        <v>38</v>
      </c>
      <c r="I18" s="175">
        <v>31</v>
      </c>
      <c r="J18" s="125"/>
      <c r="K18" s="289"/>
      <c r="L18" s="289"/>
    </row>
    <row r="19" spans="1:17" s="55" customFormat="1" ht="12.95" customHeight="1">
      <c r="B19" s="91"/>
      <c r="C19" s="91"/>
      <c r="D19" s="170">
        <v>2016</v>
      </c>
      <c r="E19" s="175">
        <f>SUM(F19:I19)</f>
        <v>115</v>
      </c>
      <c r="F19" s="175">
        <v>4</v>
      </c>
      <c r="G19" s="175">
        <v>10</v>
      </c>
      <c r="H19" s="175">
        <v>71</v>
      </c>
      <c r="I19" s="175">
        <v>30</v>
      </c>
      <c r="J19" s="125"/>
      <c r="K19" s="289"/>
    </row>
    <row r="20" spans="1:17" s="55" customFormat="1" ht="12.95" customHeight="1">
      <c r="B20" s="91"/>
      <c r="C20" s="91"/>
      <c r="D20" s="170">
        <v>2017</v>
      </c>
      <c r="E20" s="175">
        <f>F20+G20+H20+I20</f>
        <v>80</v>
      </c>
      <c r="F20" s="175">
        <v>1</v>
      </c>
      <c r="G20" s="175">
        <v>9</v>
      </c>
      <c r="H20" s="175">
        <v>47</v>
      </c>
      <c r="I20" s="175">
        <v>23</v>
      </c>
      <c r="J20" s="125"/>
      <c r="K20" s="289"/>
    </row>
    <row r="21" spans="1:17" s="55" customFormat="1" ht="8.1" customHeight="1">
      <c r="B21" s="91"/>
      <c r="C21" s="91"/>
      <c r="D21" s="170"/>
      <c r="E21" s="175"/>
      <c r="F21" s="175"/>
      <c r="G21" s="175"/>
      <c r="H21" s="175"/>
      <c r="I21" s="175"/>
      <c r="J21" s="125"/>
      <c r="K21" s="289"/>
    </row>
    <row r="22" spans="1:17" s="55" customFormat="1" ht="12.95" customHeight="1">
      <c r="B22" s="91" t="s">
        <v>22</v>
      </c>
      <c r="C22" s="91"/>
      <c r="D22" s="170">
        <v>2015</v>
      </c>
      <c r="E22" s="175">
        <f>SUM(F22:I22)</f>
        <v>68</v>
      </c>
      <c r="F22" s="169">
        <v>1</v>
      </c>
      <c r="G22" s="170">
        <v>15</v>
      </c>
      <c r="H22" s="170">
        <v>27</v>
      </c>
      <c r="I22" s="170">
        <v>25</v>
      </c>
      <c r="J22" s="125"/>
      <c r="K22" s="289"/>
    </row>
    <row r="23" spans="1:17" s="55" customFormat="1" ht="12.95" customHeight="1">
      <c r="B23" s="91"/>
      <c r="C23" s="91"/>
      <c r="D23" s="170">
        <v>2016</v>
      </c>
      <c r="E23" s="175">
        <f>SUM(F23:I23)</f>
        <v>57</v>
      </c>
      <c r="F23" s="169">
        <v>4</v>
      </c>
      <c r="G23" s="170">
        <v>8</v>
      </c>
      <c r="H23" s="170">
        <v>32</v>
      </c>
      <c r="I23" s="170">
        <v>13</v>
      </c>
      <c r="J23" s="125"/>
      <c r="K23" s="289"/>
    </row>
    <row r="24" spans="1:17" s="55" customFormat="1" ht="12.95" customHeight="1">
      <c r="B24" s="91"/>
      <c r="C24" s="91"/>
      <c r="D24" s="170">
        <v>2017</v>
      </c>
      <c r="E24" s="175">
        <f>F24+G24+H24+I24</f>
        <v>67</v>
      </c>
      <c r="F24" s="169">
        <v>1</v>
      </c>
      <c r="G24" s="170">
        <v>17</v>
      </c>
      <c r="H24" s="170">
        <v>30</v>
      </c>
      <c r="I24" s="170">
        <v>19</v>
      </c>
      <c r="J24" s="125"/>
      <c r="K24" s="289"/>
    </row>
    <row r="25" spans="1:17" s="55" customFormat="1" ht="8.1" customHeight="1">
      <c r="B25" s="91"/>
      <c r="C25" s="91"/>
      <c r="D25" s="170"/>
      <c r="E25" s="175"/>
      <c r="F25" s="169"/>
      <c r="G25" s="170"/>
      <c r="H25" s="170"/>
      <c r="I25" s="170"/>
      <c r="J25" s="125"/>
      <c r="K25" s="289"/>
    </row>
    <row r="26" spans="1:17" s="55" customFormat="1" ht="12.95" customHeight="1">
      <c r="B26" s="91" t="s">
        <v>23</v>
      </c>
      <c r="C26" s="91"/>
      <c r="D26" s="170">
        <v>2015</v>
      </c>
      <c r="E26" s="175">
        <f>SUM(F26:I26)</f>
        <v>426</v>
      </c>
      <c r="F26" s="175">
        <v>5</v>
      </c>
      <c r="G26" s="175">
        <v>46</v>
      </c>
      <c r="H26" s="175">
        <v>239</v>
      </c>
      <c r="I26" s="175">
        <v>136</v>
      </c>
      <c r="J26" s="125"/>
      <c r="K26" s="289"/>
    </row>
    <row r="27" spans="1:17" s="55" customFormat="1" ht="12.95" customHeight="1">
      <c r="B27" s="91"/>
      <c r="C27" s="91"/>
      <c r="D27" s="170">
        <v>2016</v>
      </c>
      <c r="E27" s="175">
        <f>SUM(F27:I27)</f>
        <v>982</v>
      </c>
      <c r="F27" s="175">
        <v>5</v>
      </c>
      <c r="G27" s="175">
        <v>42</v>
      </c>
      <c r="H27" s="175">
        <v>785</v>
      </c>
      <c r="I27" s="175">
        <v>150</v>
      </c>
      <c r="J27" s="125"/>
      <c r="K27" s="289"/>
    </row>
    <row r="28" spans="1:17" s="55" customFormat="1" ht="12.95" customHeight="1">
      <c r="B28" s="91"/>
      <c r="C28" s="91"/>
      <c r="D28" s="170">
        <v>2017</v>
      </c>
      <c r="E28" s="175">
        <f>F28+G28+H28+I28</f>
        <v>695</v>
      </c>
      <c r="F28" s="175">
        <v>5</v>
      </c>
      <c r="G28" s="175">
        <v>43</v>
      </c>
      <c r="H28" s="175">
        <v>513</v>
      </c>
      <c r="I28" s="175">
        <v>134</v>
      </c>
      <c r="J28" s="125"/>
      <c r="K28" s="289"/>
    </row>
    <row r="29" spans="1:17" s="55" customFormat="1" ht="8.1" customHeight="1" thickBot="1">
      <c r="A29" s="283"/>
      <c r="B29" s="284"/>
      <c r="C29" s="284"/>
      <c r="D29" s="285"/>
      <c r="E29" s="285"/>
      <c r="F29" s="286"/>
      <c r="G29" s="286"/>
      <c r="H29" s="286"/>
      <c r="I29" s="287"/>
      <c r="J29" s="283"/>
    </row>
    <row r="30" spans="1:17" s="55" customFormat="1" ht="8.1" customHeight="1">
      <c r="B30" s="124"/>
      <c r="C30" s="124"/>
      <c r="D30" s="70"/>
      <c r="E30" s="70"/>
      <c r="F30" s="123"/>
      <c r="G30" s="123"/>
      <c r="H30" s="123"/>
      <c r="I30" s="265"/>
    </row>
    <row r="31" spans="1:17" s="55" customFormat="1" ht="12.95" customHeight="1">
      <c r="B31" s="290" t="s">
        <v>31</v>
      </c>
      <c r="C31" s="290"/>
      <c r="D31" s="291">
        <v>2015</v>
      </c>
      <c r="E31" s="292">
        <f>SUM(F31:I31)</f>
        <v>1279</v>
      </c>
      <c r="F31" s="292">
        <v>22</v>
      </c>
      <c r="G31" s="292">
        <v>117</v>
      </c>
      <c r="H31" s="292">
        <v>877</v>
      </c>
      <c r="I31" s="292">
        <v>263</v>
      </c>
    </row>
    <row r="32" spans="1:17" s="55" customFormat="1" ht="12.95" customHeight="1">
      <c r="B32" s="290"/>
      <c r="C32" s="290"/>
      <c r="D32" s="291">
        <v>2016</v>
      </c>
      <c r="E32" s="292">
        <f>SUM(F32:I32)</f>
        <v>1084</v>
      </c>
      <c r="F32" s="292">
        <v>17</v>
      </c>
      <c r="G32" s="292">
        <v>107</v>
      </c>
      <c r="H32" s="292">
        <v>701</v>
      </c>
      <c r="I32" s="292">
        <v>259</v>
      </c>
    </row>
    <row r="33" spans="2:9" s="55" customFormat="1" ht="12.95" customHeight="1">
      <c r="B33" s="290"/>
      <c r="C33" s="290"/>
      <c r="D33" s="291">
        <v>2017</v>
      </c>
      <c r="E33" s="292">
        <f>F33+G33+H33+I33</f>
        <v>884</v>
      </c>
      <c r="F33" s="292">
        <f>F37+F41+F45+F49+F53+F61+F65</f>
        <v>14</v>
      </c>
      <c r="G33" s="292">
        <f t="shared" ref="G33:I33" si="1">G37+G41+G45+G49+G53+G57+G61+G65</f>
        <v>91</v>
      </c>
      <c r="H33" s="292">
        <f t="shared" si="1"/>
        <v>538</v>
      </c>
      <c r="I33" s="292">
        <f t="shared" si="1"/>
        <v>241</v>
      </c>
    </row>
    <row r="34" spans="2:9" s="55" customFormat="1" ht="8.1" customHeight="1">
      <c r="B34" s="290"/>
      <c r="C34" s="290"/>
      <c r="D34" s="291"/>
      <c r="E34" s="292"/>
      <c r="F34" s="292"/>
      <c r="G34" s="292"/>
      <c r="H34" s="292"/>
      <c r="I34" s="292"/>
    </row>
    <row r="35" spans="2:9" s="55" customFormat="1" ht="12.95" customHeight="1">
      <c r="B35" s="293" t="s">
        <v>24</v>
      </c>
      <c r="C35" s="293"/>
      <c r="D35" s="294">
        <v>2015</v>
      </c>
      <c r="E35" s="295">
        <f>SUM(F35:I35)</f>
        <v>29</v>
      </c>
      <c r="F35" s="295" t="s">
        <v>51</v>
      </c>
      <c r="G35" s="295">
        <v>3</v>
      </c>
      <c r="H35" s="295">
        <v>18</v>
      </c>
      <c r="I35" s="295">
        <v>8</v>
      </c>
    </row>
    <row r="36" spans="2:9" s="55" customFormat="1" ht="12.95" customHeight="1">
      <c r="B36" s="293"/>
      <c r="C36" s="293"/>
      <c r="D36" s="294">
        <v>2016</v>
      </c>
      <c r="E36" s="295">
        <f>SUM(F36:I36)</f>
        <v>18</v>
      </c>
      <c r="F36" s="295" t="s">
        <v>51</v>
      </c>
      <c r="G36" s="295">
        <v>4</v>
      </c>
      <c r="H36" s="295">
        <v>8</v>
      </c>
      <c r="I36" s="295">
        <v>6</v>
      </c>
    </row>
    <row r="37" spans="2:9" s="55" customFormat="1" ht="12.95" customHeight="1">
      <c r="B37" s="293"/>
      <c r="C37" s="293"/>
      <c r="D37" s="294">
        <v>2017</v>
      </c>
      <c r="E37" s="295">
        <f>F37+G37+H37+I37</f>
        <v>19</v>
      </c>
      <c r="F37" s="295">
        <v>2</v>
      </c>
      <c r="G37" s="295">
        <v>3</v>
      </c>
      <c r="H37" s="295">
        <v>4</v>
      </c>
      <c r="I37" s="295">
        <v>10</v>
      </c>
    </row>
    <row r="38" spans="2:9" s="55" customFormat="1" ht="8.1" customHeight="1">
      <c r="B38" s="293"/>
      <c r="C38" s="293"/>
      <c r="D38" s="294"/>
      <c r="E38" s="295"/>
      <c r="F38" s="295"/>
      <c r="G38" s="295"/>
      <c r="H38" s="295"/>
      <c r="I38" s="295"/>
    </row>
    <row r="39" spans="2:9" s="55" customFormat="1" ht="12.95" customHeight="1">
      <c r="B39" s="293" t="s">
        <v>30</v>
      </c>
      <c r="C39" s="293"/>
      <c r="D39" s="294">
        <v>2015</v>
      </c>
      <c r="E39" s="295">
        <f>SUM(F39:I39)</f>
        <v>83</v>
      </c>
      <c r="F39" s="296">
        <v>3</v>
      </c>
      <c r="G39" s="295">
        <v>14</v>
      </c>
      <c r="H39" s="295">
        <v>37</v>
      </c>
      <c r="I39" s="295">
        <v>29</v>
      </c>
    </row>
    <row r="40" spans="2:9" s="55" customFormat="1" ht="12.95" customHeight="1">
      <c r="B40" s="293"/>
      <c r="C40" s="293"/>
      <c r="D40" s="294">
        <v>2016</v>
      </c>
      <c r="E40" s="295">
        <f>SUM(F40:I40)</f>
        <v>60</v>
      </c>
      <c r="F40" s="296" t="s">
        <v>51</v>
      </c>
      <c r="G40" s="295">
        <v>16</v>
      </c>
      <c r="H40" s="295">
        <v>21</v>
      </c>
      <c r="I40" s="295">
        <v>23</v>
      </c>
    </row>
    <row r="41" spans="2:9" s="55" customFormat="1" ht="12.95" customHeight="1">
      <c r="B41" s="293"/>
      <c r="C41" s="293"/>
      <c r="D41" s="294">
        <v>2017</v>
      </c>
      <c r="E41" s="295">
        <f>F41+G41+H41+I41</f>
        <v>69</v>
      </c>
      <c r="F41" s="296">
        <v>4</v>
      </c>
      <c r="G41" s="295">
        <v>17</v>
      </c>
      <c r="H41" s="295">
        <v>23</v>
      </c>
      <c r="I41" s="295">
        <v>25</v>
      </c>
    </row>
    <row r="42" spans="2:9" s="55" customFormat="1" ht="8.1" customHeight="1">
      <c r="B42" s="293"/>
      <c r="C42" s="293"/>
      <c r="D42" s="294"/>
      <c r="E42" s="295"/>
      <c r="F42" s="296"/>
      <c r="G42" s="295"/>
      <c r="H42" s="295"/>
      <c r="I42" s="295"/>
    </row>
    <row r="43" spans="2:9" s="55" customFormat="1" ht="12.95" customHeight="1">
      <c r="B43" s="293" t="s">
        <v>25</v>
      </c>
      <c r="C43" s="293"/>
      <c r="D43" s="294">
        <v>2015</v>
      </c>
      <c r="E43" s="295">
        <f>SUM(F43:I43)</f>
        <v>45</v>
      </c>
      <c r="F43" s="295" t="s">
        <v>51</v>
      </c>
      <c r="G43" s="295">
        <v>9</v>
      </c>
      <c r="H43" s="295">
        <v>23</v>
      </c>
      <c r="I43" s="295">
        <v>13</v>
      </c>
    </row>
    <row r="44" spans="2:9" s="55" customFormat="1" ht="12.95" customHeight="1">
      <c r="B44" s="293"/>
      <c r="C44" s="293"/>
      <c r="D44" s="294">
        <v>2016</v>
      </c>
      <c r="E44" s="295">
        <f>SUM(F44:I44)</f>
        <v>55</v>
      </c>
      <c r="F44" s="295" t="s">
        <v>51</v>
      </c>
      <c r="G44" s="295">
        <v>10</v>
      </c>
      <c r="H44" s="295">
        <v>24</v>
      </c>
      <c r="I44" s="295">
        <v>21</v>
      </c>
    </row>
    <row r="45" spans="2:9" s="55" customFormat="1" ht="12.95" customHeight="1">
      <c r="B45" s="293"/>
      <c r="C45" s="293"/>
      <c r="D45" s="294">
        <v>2017</v>
      </c>
      <c r="E45" s="295">
        <f>F45+G45+H45+I45</f>
        <v>50</v>
      </c>
      <c r="F45" s="295">
        <v>1</v>
      </c>
      <c r="G45" s="295">
        <v>4</v>
      </c>
      <c r="H45" s="295">
        <v>25</v>
      </c>
      <c r="I45" s="295">
        <v>20</v>
      </c>
    </row>
    <row r="46" spans="2:9" s="55" customFormat="1" ht="8.1" customHeight="1">
      <c r="B46" s="293"/>
      <c r="C46" s="293"/>
      <c r="D46" s="294"/>
      <c r="E46" s="295"/>
      <c r="F46" s="295"/>
      <c r="G46" s="295"/>
      <c r="H46" s="295"/>
      <c r="I46" s="295"/>
    </row>
    <row r="47" spans="2:9" s="55" customFormat="1" ht="12.95" customHeight="1">
      <c r="B47" s="293" t="s">
        <v>68</v>
      </c>
      <c r="C47" s="293"/>
      <c r="D47" s="294">
        <v>2015</v>
      </c>
      <c r="E47" s="295">
        <f>SUM(F47:I47)</f>
        <v>389</v>
      </c>
      <c r="F47" s="296">
        <v>5</v>
      </c>
      <c r="G47" s="295">
        <v>21</v>
      </c>
      <c r="H47" s="295">
        <v>306</v>
      </c>
      <c r="I47" s="295">
        <v>57</v>
      </c>
    </row>
    <row r="48" spans="2:9" s="55" customFormat="1" ht="12.95" customHeight="1">
      <c r="B48" s="293"/>
      <c r="C48" s="293"/>
      <c r="D48" s="294">
        <v>2016</v>
      </c>
      <c r="E48" s="295">
        <f>SUM(F48:I48)</f>
        <v>359</v>
      </c>
      <c r="F48" s="296">
        <v>6</v>
      </c>
      <c r="G48" s="295">
        <v>16</v>
      </c>
      <c r="H48" s="295">
        <v>275</v>
      </c>
      <c r="I48" s="295">
        <v>62</v>
      </c>
    </row>
    <row r="49" spans="2:9" s="55" customFormat="1" ht="12.95" customHeight="1">
      <c r="B49" s="293"/>
      <c r="C49" s="293"/>
      <c r="D49" s="294">
        <v>2017</v>
      </c>
      <c r="E49" s="295">
        <f>F49+G49+H49+I49</f>
        <v>276</v>
      </c>
      <c r="F49" s="296">
        <v>1</v>
      </c>
      <c r="G49" s="295">
        <v>14</v>
      </c>
      <c r="H49" s="295">
        <v>188</v>
      </c>
      <c r="I49" s="295">
        <v>73</v>
      </c>
    </row>
    <row r="50" spans="2:9" s="55" customFormat="1" ht="8.1" customHeight="1">
      <c r="B50" s="293"/>
      <c r="C50" s="293"/>
      <c r="D50" s="294"/>
      <c r="E50" s="295"/>
      <c r="F50" s="296"/>
      <c r="G50" s="295"/>
      <c r="H50" s="295"/>
      <c r="I50" s="295"/>
    </row>
    <row r="51" spans="2:9" s="55" customFormat="1" ht="12.95" customHeight="1">
      <c r="B51" s="293" t="s">
        <v>26</v>
      </c>
      <c r="C51" s="293"/>
      <c r="D51" s="294">
        <v>2015</v>
      </c>
      <c r="E51" s="295">
        <f>SUM(F51:I51)</f>
        <v>135</v>
      </c>
      <c r="F51" s="295">
        <v>4</v>
      </c>
      <c r="G51" s="295">
        <v>22</v>
      </c>
      <c r="H51" s="295">
        <v>69</v>
      </c>
      <c r="I51" s="295">
        <v>40</v>
      </c>
    </row>
    <row r="52" spans="2:9" s="55" customFormat="1" ht="12.95" customHeight="1">
      <c r="B52" s="293"/>
      <c r="C52" s="293"/>
      <c r="D52" s="294">
        <v>2016</v>
      </c>
      <c r="E52" s="295">
        <f>SUM(F52:I52)</f>
        <v>109</v>
      </c>
      <c r="F52" s="295">
        <v>2</v>
      </c>
      <c r="G52" s="295">
        <v>10</v>
      </c>
      <c r="H52" s="295">
        <v>55</v>
      </c>
      <c r="I52" s="295">
        <v>42</v>
      </c>
    </row>
    <row r="53" spans="2:9" s="55" customFormat="1" ht="12.95" customHeight="1">
      <c r="B53" s="293"/>
      <c r="C53" s="293"/>
      <c r="D53" s="294">
        <v>2017</v>
      </c>
      <c r="E53" s="295">
        <f>F53+G53+H53+I53</f>
        <v>84</v>
      </c>
      <c r="F53" s="295">
        <v>1</v>
      </c>
      <c r="G53" s="295">
        <v>13</v>
      </c>
      <c r="H53" s="295">
        <v>45</v>
      </c>
      <c r="I53" s="295">
        <v>25</v>
      </c>
    </row>
    <row r="54" spans="2:9" s="55" customFormat="1" ht="8.1" customHeight="1">
      <c r="B54" s="293"/>
      <c r="C54" s="293"/>
      <c r="D54" s="294"/>
      <c r="E54" s="295"/>
      <c r="F54" s="295"/>
      <c r="G54" s="295"/>
      <c r="H54" s="295"/>
      <c r="I54" s="295"/>
    </row>
    <row r="55" spans="2:9" s="55" customFormat="1" ht="12.95" customHeight="1">
      <c r="B55" s="293" t="s">
        <v>27</v>
      </c>
      <c r="C55" s="293"/>
      <c r="D55" s="294">
        <v>2015</v>
      </c>
      <c r="E55" s="295">
        <f>SUM(F55:I55)</f>
        <v>41</v>
      </c>
      <c r="F55" s="296">
        <v>1</v>
      </c>
      <c r="G55" s="295">
        <v>8</v>
      </c>
      <c r="H55" s="295">
        <v>20</v>
      </c>
      <c r="I55" s="295">
        <v>12</v>
      </c>
    </row>
    <row r="56" spans="2:9" s="55" customFormat="1" ht="12.95" customHeight="1">
      <c r="B56" s="293"/>
      <c r="C56" s="293"/>
      <c r="D56" s="294">
        <v>2016</v>
      </c>
      <c r="E56" s="295">
        <f>SUM(F56:I56)</f>
        <v>32</v>
      </c>
      <c r="F56" s="296">
        <v>2</v>
      </c>
      <c r="G56" s="295">
        <v>4</v>
      </c>
      <c r="H56" s="295">
        <v>14</v>
      </c>
      <c r="I56" s="295">
        <v>12</v>
      </c>
    </row>
    <row r="57" spans="2:9" s="55" customFormat="1" ht="12.95" customHeight="1">
      <c r="B57" s="293"/>
      <c r="C57" s="293"/>
      <c r="D57" s="294">
        <v>2017</v>
      </c>
      <c r="E57" s="295">
        <f>G57+H57+I57</f>
        <v>16</v>
      </c>
      <c r="F57" s="296" t="s">
        <v>51</v>
      </c>
      <c r="G57" s="295">
        <v>2</v>
      </c>
      <c r="H57" s="295">
        <v>7</v>
      </c>
      <c r="I57" s="295">
        <v>7</v>
      </c>
    </row>
    <row r="58" spans="2:9" s="55" customFormat="1" ht="8.1" customHeight="1">
      <c r="B58" s="293"/>
      <c r="C58" s="293"/>
      <c r="D58" s="294"/>
      <c r="E58" s="295"/>
      <c r="F58" s="296"/>
      <c r="G58" s="295"/>
      <c r="H58" s="295"/>
      <c r="I58" s="295"/>
    </row>
    <row r="59" spans="2:9" s="55" customFormat="1" ht="12.95" customHeight="1">
      <c r="B59" s="293" t="s">
        <v>28</v>
      </c>
      <c r="C59" s="293"/>
      <c r="D59" s="294">
        <v>2015</v>
      </c>
      <c r="E59" s="295">
        <f>SUM(F59:I59)</f>
        <v>496</v>
      </c>
      <c r="F59" s="295">
        <v>6</v>
      </c>
      <c r="G59" s="295">
        <v>31</v>
      </c>
      <c r="H59" s="295">
        <v>366</v>
      </c>
      <c r="I59" s="295">
        <v>93</v>
      </c>
    </row>
    <row r="60" spans="2:9" s="55" customFormat="1" ht="12.95" customHeight="1">
      <c r="B60" s="293"/>
      <c r="C60" s="293"/>
      <c r="D60" s="294">
        <v>2016</v>
      </c>
      <c r="E60" s="295">
        <f>SUM(F60:I60)</f>
        <v>388</v>
      </c>
      <c r="F60" s="295">
        <v>7</v>
      </c>
      <c r="G60" s="295">
        <v>36</v>
      </c>
      <c r="H60" s="295">
        <v>272</v>
      </c>
      <c r="I60" s="295">
        <v>73</v>
      </c>
    </row>
    <row r="61" spans="2:9" s="55" customFormat="1" ht="12.95" customHeight="1">
      <c r="B61" s="293"/>
      <c r="C61" s="293"/>
      <c r="D61" s="294">
        <v>2017</v>
      </c>
      <c r="E61" s="295">
        <f>F61+G61+H61+I61</f>
        <v>331</v>
      </c>
      <c r="F61" s="295">
        <v>4</v>
      </c>
      <c r="G61" s="295">
        <v>28</v>
      </c>
      <c r="H61" s="295">
        <v>229</v>
      </c>
      <c r="I61" s="295">
        <v>70</v>
      </c>
    </row>
    <row r="62" spans="2:9" s="55" customFormat="1" ht="8.1" customHeight="1">
      <c r="B62" s="293"/>
      <c r="C62" s="293"/>
      <c r="D62" s="294"/>
      <c r="E62" s="295"/>
      <c r="F62" s="295"/>
      <c r="G62" s="295"/>
      <c r="H62" s="295"/>
      <c r="I62" s="295"/>
    </row>
    <row r="63" spans="2:9" s="55" customFormat="1" ht="12.95" customHeight="1">
      <c r="B63" s="293" t="s">
        <v>29</v>
      </c>
      <c r="C63" s="293"/>
      <c r="D63" s="294">
        <v>2015</v>
      </c>
      <c r="E63" s="295">
        <f>SUM(F63:I63)</f>
        <v>61</v>
      </c>
      <c r="F63" s="295">
        <v>3</v>
      </c>
      <c r="G63" s="295">
        <v>9</v>
      </c>
      <c r="H63" s="295">
        <v>38</v>
      </c>
      <c r="I63" s="295">
        <v>11</v>
      </c>
    </row>
    <row r="64" spans="2:9" s="55" customFormat="1" ht="12.95" customHeight="1">
      <c r="B64" s="293"/>
      <c r="C64" s="293"/>
      <c r="D64" s="294">
        <v>2016</v>
      </c>
      <c r="E64" s="295">
        <f>SUM(F64:I64)</f>
        <v>63</v>
      </c>
      <c r="F64" s="296" t="s">
        <v>51</v>
      </c>
      <c r="G64" s="294">
        <v>11</v>
      </c>
      <c r="H64" s="295">
        <v>32</v>
      </c>
      <c r="I64" s="294">
        <v>20</v>
      </c>
    </row>
    <row r="65" spans="1:10" s="55" customFormat="1" ht="12.95" customHeight="1">
      <c r="B65" s="293"/>
      <c r="C65" s="293"/>
      <c r="D65" s="294">
        <v>2017</v>
      </c>
      <c r="E65" s="295">
        <f>F65+G65+H65+I65</f>
        <v>39</v>
      </c>
      <c r="F65" s="296">
        <v>1</v>
      </c>
      <c r="G65" s="294">
        <v>10</v>
      </c>
      <c r="H65" s="295">
        <v>17</v>
      </c>
      <c r="I65" s="294">
        <v>11</v>
      </c>
    </row>
    <row r="66" spans="1:10" s="55" customFormat="1" ht="8.1" customHeight="1" thickBot="1">
      <c r="A66" s="283"/>
      <c r="B66" s="284"/>
      <c r="C66" s="284"/>
      <c r="D66" s="284"/>
      <c r="E66" s="285"/>
      <c r="F66" s="286"/>
      <c r="G66" s="286"/>
      <c r="H66" s="286"/>
      <c r="I66" s="287"/>
      <c r="J66" s="283"/>
    </row>
    <row r="67" spans="1:10" s="55" customFormat="1" ht="12.75">
      <c r="B67" s="124"/>
      <c r="C67" s="124"/>
      <c r="D67" s="124"/>
      <c r="E67" s="70"/>
      <c r="F67" s="123"/>
      <c r="G67" s="123"/>
      <c r="H67" s="123"/>
      <c r="I67" s="265"/>
      <c r="J67" s="8" t="s">
        <v>104</v>
      </c>
    </row>
    <row r="68" spans="1:10" s="55" customFormat="1" ht="12.75">
      <c r="B68" s="124"/>
      <c r="C68" s="124"/>
      <c r="D68" s="124"/>
      <c r="E68" s="70"/>
      <c r="F68" s="123"/>
      <c r="G68" s="123"/>
      <c r="H68" s="123"/>
      <c r="I68" s="265"/>
      <c r="J68" s="41" t="s">
        <v>1</v>
      </c>
    </row>
  </sheetData>
  <mergeCells count="7">
    <mergeCell ref="I11:I12"/>
    <mergeCell ref="B11:C12"/>
    <mergeCell ref="D11:D12"/>
    <mergeCell ref="E11:E12"/>
    <mergeCell ref="F11:F12"/>
    <mergeCell ref="G11:G12"/>
    <mergeCell ref="H11:H12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5" fitToWidth="0" orientation="portrait" r:id="rId1"/>
  <headerFooter>
    <oddHeader xml:space="preserve">&amp;R&amp;"-,Bold"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O63"/>
  <sheetViews>
    <sheetView showGridLines="0" topLeftCell="A17" zoomScaleNormal="100" zoomScaleSheetLayoutView="100" workbookViewId="0">
      <selection activeCell="O30" sqref="O30"/>
    </sheetView>
  </sheetViews>
  <sheetFormatPr defaultRowHeight="15"/>
  <cols>
    <col min="1" max="1" width="1.42578125" style="2" customWidth="1"/>
    <col min="2" max="2" width="10.28515625" style="3" customWidth="1"/>
    <col min="3" max="4" width="10.140625" style="3" customWidth="1"/>
    <col min="5" max="5" width="12.5703125" style="21" customWidth="1"/>
    <col min="6" max="8" width="12.5703125" style="22" customWidth="1"/>
    <col min="9" max="9" width="16.85546875" style="22" customWidth="1"/>
    <col min="10" max="10" width="0.85546875" style="2" customWidth="1"/>
    <col min="11" max="16384" width="9.140625" style="2"/>
  </cols>
  <sheetData>
    <row r="1" spans="1:15" ht="9.9499999999999993" customHeight="1">
      <c r="B1" s="3" t="s">
        <v>224</v>
      </c>
      <c r="I1" s="5"/>
    </row>
    <row r="2" spans="1:15" s="30" customFormat="1" ht="12.95" customHeight="1">
      <c r="B2" s="27"/>
      <c r="C2" s="27"/>
      <c r="D2" s="29"/>
      <c r="E2" s="28"/>
      <c r="F2" s="29"/>
      <c r="I2" s="199" t="s">
        <v>188</v>
      </c>
      <c r="J2" s="29"/>
    </row>
    <row r="3" spans="1:15" s="30" customFormat="1" ht="12.95" customHeight="1">
      <c r="B3" s="27"/>
      <c r="C3" s="27"/>
      <c r="D3" s="29"/>
      <c r="E3" s="28"/>
      <c r="F3" s="29"/>
      <c r="I3" s="75" t="s">
        <v>189</v>
      </c>
      <c r="J3" s="29"/>
    </row>
    <row r="4" spans="1:15" s="30" customFormat="1" ht="12" customHeight="1">
      <c r="B4" s="27"/>
      <c r="C4" s="27"/>
      <c r="D4" s="29"/>
      <c r="E4" s="28"/>
      <c r="F4" s="29"/>
      <c r="G4" s="75"/>
      <c r="J4" s="29"/>
    </row>
    <row r="5" spans="1:15" s="30" customFormat="1" ht="12" customHeight="1">
      <c r="B5" s="27"/>
      <c r="C5" s="27"/>
      <c r="D5" s="29"/>
      <c r="E5" s="28"/>
      <c r="F5" s="29"/>
      <c r="G5" s="75"/>
      <c r="J5" s="29"/>
    </row>
    <row r="6" spans="1:15" s="55" customFormat="1" ht="9.75" customHeight="1">
      <c r="B6" s="124"/>
      <c r="C6" s="124"/>
      <c r="D6" s="265"/>
      <c r="E6" s="266"/>
      <c r="F6" s="265"/>
      <c r="G6" s="265"/>
      <c r="H6" s="267"/>
      <c r="I6" s="265"/>
      <c r="J6" s="123"/>
    </row>
    <row r="7" spans="1:15" s="55" customFormat="1" ht="15" customHeight="1">
      <c r="B7" s="88" t="s">
        <v>225</v>
      </c>
      <c r="C7" s="71" t="s">
        <v>230</v>
      </c>
      <c r="D7" s="124"/>
      <c r="E7" s="71"/>
      <c r="F7" s="71"/>
      <c r="G7" s="71"/>
      <c r="H7" s="71"/>
      <c r="I7" s="71"/>
      <c r="J7" s="71"/>
    </row>
    <row r="8" spans="1:15" s="72" customFormat="1" ht="15" customHeight="1">
      <c r="B8" s="89" t="s">
        <v>227</v>
      </c>
      <c r="C8" s="74" t="s">
        <v>231</v>
      </c>
      <c r="E8" s="74"/>
      <c r="F8" s="74"/>
      <c r="G8" s="74"/>
      <c r="H8" s="74"/>
      <c r="I8" s="74"/>
      <c r="J8" s="74"/>
    </row>
    <row r="9" spans="1:15" s="55" customFormat="1" ht="9.9499999999999993" customHeight="1" thickBot="1">
      <c r="B9" s="124"/>
      <c r="C9" s="124"/>
      <c r="D9" s="124"/>
      <c r="E9" s="70"/>
      <c r="F9" s="123"/>
      <c r="G9" s="123"/>
      <c r="H9" s="123"/>
      <c r="I9" s="265"/>
    </row>
    <row r="10" spans="1:15" s="55" customFormat="1" ht="9.9499999999999993" customHeight="1" thickTop="1">
      <c r="A10" s="268"/>
      <c r="B10" s="269"/>
      <c r="C10" s="269"/>
      <c r="D10" s="270"/>
      <c r="E10" s="271"/>
      <c r="F10" s="272"/>
      <c r="G10" s="272"/>
      <c r="H10" s="272"/>
      <c r="I10" s="273"/>
      <c r="J10" s="268"/>
    </row>
    <row r="11" spans="1:15" s="55" customFormat="1" ht="21" customHeight="1">
      <c r="A11" s="249"/>
      <c r="B11" s="274" t="s">
        <v>229</v>
      </c>
      <c r="C11" s="274"/>
      <c r="D11" s="253" t="s">
        <v>100</v>
      </c>
      <c r="E11" s="253" t="s">
        <v>95</v>
      </c>
      <c r="F11" s="275" t="s">
        <v>207</v>
      </c>
      <c r="G11" s="275" t="s">
        <v>208</v>
      </c>
      <c r="H11" s="275" t="s">
        <v>209</v>
      </c>
      <c r="I11" s="275" t="s">
        <v>210</v>
      </c>
      <c r="J11" s="276"/>
    </row>
    <row r="12" spans="1:15" s="55" customFormat="1" ht="15.75" customHeight="1">
      <c r="A12" s="277"/>
      <c r="B12" s="278"/>
      <c r="C12" s="278"/>
      <c r="D12" s="259"/>
      <c r="E12" s="259"/>
      <c r="F12" s="279"/>
      <c r="G12" s="279"/>
      <c r="H12" s="279"/>
      <c r="I12" s="279"/>
      <c r="J12" s="56"/>
    </row>
    <row r="13" spans="1:15" s="55" customFormat="1" ht="8.1" customHeight="1">
      <c r="A13" s="125"/>
      <c r="B13" s="243"/>
      <c r="C13" s="243"/>
      <c r="D13" s="99"/>
      <c r="E13" s="99"/>
      <c r="F13" s="280"/>
      <c r="G13" s="280"/>
      <c r="H13" s="280"/>
      <c r="I13" s="280"/>
      <c r="J13" s="95"/>
    </row>
    <row r="14" spans="1:15" s="55" customFormat="1" ht="12.95" customHeight="1">
      <c r="B14" s="133" t="s">
        <v>103</v>
      </c>
      <c r="C14" s="133"/>
      <c r="D14" s="69">
        <v>2015</v>
      </c>
      <c r="E14" s="174">
        <f>SUM(F14:I14)</f>
        <v>677</v>
      </c>
      <c r="F14" s="174">
        <v>18</v>
      </c>
      <c r="G14" s="174">
        <v>94</v>
      </c>
      <c r="H14" s="174">
        <v>315</v>
      </c>
      <c r="I14" s="174">
        <v>250</v>
      </c>
      <c r="J14" s="289"/>
    </row>
    <row r="15" spans="1:15" s="55" customFormat="1" ht="12.95" customHeight="1">
      <c r="B15" s="133"/>
      <c r="C15" s="133"/>
      <c r="D15" s="69">
        <v>2016</v>
      </c>
      <c r="E15" s="174">
        <f>SUM(F15:I15)</f>
        <v>651</v>
      </c>
      <c r="F15" s="174">
        <v>15</v>
      </c>
      <c r="G15" s="174">
        <v>134</v>
      </c>
      <c r="H15" s="174">
        <v>293</v>
      </c>
      <c r="I15" s="174">
        <v>209</v>
      </c>
      <c r="J15" s="289"/>
      <c r="K15" s="297"/>
      <c r="L15" s="297"/>
      <c r="M15" s="297"/>
      <c r="N15" s="297"/>
      <c r="O15" s="297"/>
    </row>
    <row r="16" spans="1:15" s="55" customFormat="1" ht="12.95" customHeight="1">
      <c r="B16" s="133"/>
      <c r="C16" s="133"/>
      <c r="D16" s="69">
        <v>2017</v>
      </c>
      <c r="E16" s="174">
        <f>F16+G16+H16+I16</f>
        <v>656</v>
      </c>
      <c r="F16" s="174">
        <f>F20+F24+F32+F36+F40+F52+F56+F60</f>
        <v>16</v>
      </c>
      <c r="G16" s="174">
        <f t="shared" ref="G16:I16" si="0">G20+G24+G28+G32+G36+G40+G44+G48+G52+G56+G60</f>
        <v>163</v>
      </c>
      <c r="H16" s="174">
        <f t="shared" si="0"/>
        <v>289</v>
      </c>
      <c r="I16" s="174">
        <f t="shared" si="0"/>
        <v>188</v>
      </c>
      <c r="J16" s="289"/>
      <c r="K16" s="297"/>
      <c r="L16" s="297"/>
      <c r="M16" s="297"/>
      <c r="N16" s="297"/>
      <c r="O16" s="297"/>
    </row>
    <row r="17" spans="2:15" s="55" customFormat="1" ht="12.95" customHeight="1">
      <c r="B17" s="133"/>
      <c r="C17" s="133"/>
      <c r="D17" s="69"/>
      <c r="E17" s="174"/>
      <c r="F17" s="174"/>
      <c r="G17" s="174"/>
      <c r="H17" s="174"/>
      <c r="I17" s="174"/>
      <c r="J17" s="289"/>
      <c r="K17" s="297"/>
      <c r="L17" s="297"/>
      <c r="M17" s="297"/>
      <c r="N17" s="297"/>
      <c r="O17" s="297"/>
    </row>
    <row r="18" spans="2:15" s="55" customFormat="1" ht="12.95" customHeight="1">
      <c r="B18" s="91" t="s">
        <v>32</v>
      </c>
      <c r="C18" s="91"/>
      <c r="D18" s="170">
        <v>2015</v>
      </c>
      <c r="E18" s="175">
        <f>SUM(F18:I18)</f>
        <v>100</v>
      </c>
      <c r="F18" s="175">
        <v>5</v>
      </c>
      <c r="G18" s="175">
        <v>11</v>
      </c>
      <c r="H18" s="175">
        <v>38</v>
      </c>
      <c r="I18" s="175">
        <v>46</v>
      </c>
      <c r="J18" s="289"/>
      <c r="K18" s="297"/>
      <c r="L18" s="297"/>
      <c r="M18" s="297"/>
      <c r="N18" s="297"/>
      <c r="O18" s="297"/>
    </row>
    <row r="19" spans="2:15" s="55" customFormat="1" ht="12.95" customHeight="1">
      <c r="B19" s="91"/>
      <c r="C19" s="91"/>
      <c r="D19" s="170">
        <v>2016</v>
      </c>
      <c r="E19" s="175">
        <f>SUM(F19:I19)</f>
        <v>67</v>
      </c>
      <c r="F19" s="175">
        <v>2</v>
      </c>
      <c r="G19" s="175">
        <v>3</v>
      </c>
      <c r="H19" s="175">
        <v>29</v>
      </c>
      <c r="I19" s="175">
        <v>33</v>
      </c>
      <c r="J19" s="289"/>
      <c r="K19" s="297"/>
      <c r="L19" s="297"/>
      <c r="M19" s="297"/>
      <c r="N19" s="297"/>
      <c r="O19" s="297"/>
    </row>
    <row r="20" spans="2:15" s="55" customFormat="1" ht="12.95" customHeight="1">
      <c r="B20" s="91"/>
      <c r="C20" s="91"/>
      <c r="D20" s="170">
        <v>2017</v>
      </c>
      <c r="E20" s="175">
        <f>F20+G20+H20+I20</f>
        <v>47</v>
      </c>
      <c r="F20" s="175">
        <v>2</v>
      </c>
      <c r="G20" s="175">
        <v>7</v>
      </c>
      <c r="H20" s="175">
        <v>14</v>
      </c>
      <c r="I20" s="175">
        <v>24</v>
      </c>
      <c r="J20" s="289"/>
      <c r="K20" s="297"/>
      <c r="L20" s="297"/>
      <c r="M20" s="297"/>
      <c r="N20" s="297"/>
      <c r="O20" s="297"/>
    </row>
    <row r="21" spans="2:15" s="55" customFormat="1" ht="12.95" customHeight="1">
      <c r="B21" s="91"/>
      <c r="C21" s="91"/>
      <c r="D21" s="170"/>
      <c r="E21" s="175"/>
      <c r="F21" s="175"/>
      <c r="G21" s="175"/>
      <c r="H21" s="175"/>
      <c r="I21" s="175"/>
      <c r="J21" s="289"/>
      <c r="K21" s="297"/>
      <c r="L21" s="297"/>
      <c r="M21" s="297"/>
      <c r="N21" s="297"/>
      <c r="O21" s="297"/>
    </row>
    <row r="22" spans="2:15" s="55" customFormat="1" ht="12.95" customHeight="1">
      <c r="B22" s="91" t="s">
        <v>42</v>
      </c>
      <c r="C22" s="91"/>
      <c r="D22" s="170">
        <v>2015</v>
      </c>
      <c r="E22" s="175">
        <f>SUM(F22:I22)</f>
        <v>38</v>
      </c>
      <c r="F22" s="173" t="s">
        <v>51</v>
      </c>
      <c r="G22" s="175">
        <v>2</v>
      </c>
      <c r="H22" s="175">
        <v>17</v>
      </c>
      <c r="I22" s="175">
        <v>19</v>
      </c>
    </row>
    <row r="23" spans="2:15" s="55" customFormat="1" ht="12.95" customHeight="1">
      <c r="B23" s="91"/>
      <c r="C23" s="91"/>
      <c r="D23" s="170">
        <v>2016</v>
      </c>
      <c r="E23" s="175">
        <f>SUM(F23:I23)</f>
        <v>31</v>
      </c>
      <c r="F23" s="173" t="s">
        <v>51</v>
      </c>
      <c r="G23" s="175">
        <v>9</v>
      </c>
      <c r="H23" s="175">
        <v>16</v>
      </c>
      <c r="I23" s="175">
        <v>6</v>
      </c>
    </row>
    <row r="24" spans="2:15" s="55" customFormat="1" ht="12.95" customHeight="1">
      <c r="B24" s="91"/>
      <c r="C24" s="91"/>
      <c r="D24" s="170">
        <v>2017</v>
      </c>
      <c r="E24" s="175">
        <f>F24+G24+H24+I24</f>
        <v>40</v>
      </c>
      <c r="F24" s="173">
        <v>2</v>
      </c>
      <c r="G24" s="175">
        <v>11</v>
      </c>
      <c r="H24" s="175">
        <v>16</v>
      </c>
      <c r="I24" s="175">
        <v>11</v>
      </c>
    </row>
    <row r="25" spans="2:15" s="55" customFormat="1" ht="12.95" customHeight="1">
      <c r="B25" s="91"/>
      <c r="C25" s="91"/>
      <c r="D25" s="170"/>
      <c r="E25" s="175"/>
      <c r="F25" s="173"/>
      <c r="G25" s="175"/>
      <c r="H25" s="175"/>
      <c r="I25" s="175"/>
    </row>
    <row r="26" spans="2:15" s="55" customFormat="1" ht="12.95" customHeight="1">
      <c r="B26" s="91" t="s">
        <v>33</v>
      </c>
      <c r="C26" s="91"/>
      <c r="D26" s="170">
        <v>2015</v>
      </c>
      <c r="E26" s="175">
        <f>SUM(F26:I26)</f>
        <v>15</v>
      </c>
      <c r="F26" s="175" t="s">
        <v>51</v>
      </c>
      <c r="G26" s="175">
        <v>2</v>
      </c>
      <c r="H26" s="175">
        <v>6</v>
      </c>
      <c r="I26" s="175">
        <v>7</v>
      </c>
    </row>
    <row r="27" spans="2:15" s="55" customFormat="1" ht="12.95" customHeight="1">
      <c r="B27" s="91"/>
      <c r="C27" s="91"/>
      <c r="D27" s="170">
        <v>2016</v>
      </c>
      <c r="E27" s="175">
        <f>SUM(F27:I27)</f>
        <v>19</v>
      </c>
      <c r="F27" s="175">
        <v>1</v>
      </c>
      <c r="G27" s="175">
        <v>2</v>
      </c>
      <c r="H27" s="175">
        <v>6</v>
      </c>
      <c r="I27" s="175">
        <v>10</v>
      </c>
    </row>
    <row r="28" spans="2:15" s="55" customFormat="1" ht="12.95" customHeight="1">
      <c r="B28" s="91"/>
      <c r="C28" s="91"/>
      <c r="D28" s="170">
        <v>2017</v>
      </c>
      <c r="E28" s="175">
        <f>+G28+H28+I28</f>
        <v>13</v>
      </c>
      <c r="F28" s="173" t="s">
        <v>51</v>
      </c>
      <c r="G28" s="175">
        <v>1</v>
      </c>
      <c r="H28" s="175">
        <v>2</v>
      </c>
      <c r="I28" s="175">
        <v>10</v>
      </c>
    </row>
    <row r="29" spans="2:15" s="55" customFormat="1" ht="12.95" customHeight="1">
      <c r="B29" s="91"/>
      <c r="C29" s="91"/>
      <c r="D29" s="170"/>
      <c r="E29" s="175"/>
      <c r="F29" s="175"/>
      <c r="G29" s="175"/>
      <c r="H29" s="175"/>
      <c r="I29" s="175"/>
    </row>
    <row r="30" spans="2:15" s="55" customFormat="1" ht="12.95" customHeight="1">
      <c r="B30" s="91" t="s">
        <v>34</v>
      </c>
      <c r="C30" s="91"/>
      <c r="D30" s="170">
        <v>2015</v>
      </c>
      <c r="E30" s="175">
        <f>SUM(F30:I30)</f>
        <v>43</v>
      </c>
      <c r="F30" s="173">
        <v>3</v>
      </c>
      <c r="G30" s="175">
        <v>12</v>
      </c>
      <c r="H30" s="175">
        <v>12</v>
      </c>
      <c r="I30" s="175">
        <v>16</v>
      </c>
    </row>
    <row r="31" spans="2:15" s="55" customFormat="1" ht="12.95" customHeight="1">
      <c r="B31" s="91"/>
      <c r="C31" s="91"/>
      <c r="D31" s="170">
        <v>2016</v>
      </c>
      <c r="E31" s="175">
        <f>SUM(F31:I31)</f>
        <v>47</v>
      </c>
      <c r="F31" s="173">
        <v>2</v>
      </c>
      <c r="G31" s="175">
        <v>9</v>
      </c>
      <c r="H31" s="175">
        <v>15</v>
      </c>
      <c r="I31" s="175">
        <v>21</v>
      </c>
    </row>
    <row r="32" spans="2:15" s="55" customFormat="1" ht="12.95" customHeight="1">
      <c r="B32" s="91"/>
      <c r="C32" s="91"/>
      <c r="D32" s="170">
        <v>2017</v>
      </c>
      <c r="E32" s="175">
        <f>F32+G32+H32+I32</f>
        <v>31</v>
      </c>
      <c r="F32" s="173">
        <v>1</v>
      </c>
      <c r="G32" s="175">
        <v>6</v>
      </c>
      <c r="H32" s="175">
        <v>10</v>
      </c>
      <c r="I32" s="175">
        <v>14</v>
      </c>
    </row>
    <row r="33" spans="2:9" s="55" customFormat="1" ht="12.95" customHeight="1">
      <c r="B33" s="91"/>
      <c r="C33" s="91"/>
      <c r="D33" s="170"/>
      <c r="E33" s="175"/>
      <c r="F33" s="173"/>
      <c r="G33" s="175"/>
      <c r="H33" s="175"/>
      <c r="I33" s="175"/>
    </row>
    <row r="34" spans="2:9" s="55" customFormat="1" ht="12.95" customHeight="1">
      <c r="B34" s="91" t="s">
        <v>36</v>
      </c>
      <c r="C34" s="91"/>
      <c r="D34" s="170">
        <v>2015</v>
      </c>
      <c r="E34" s="175">
        <f>SUM(F34:I34)</f>
        <v>19</v>
      </c>
      <c r="F34" s="175" t="s">
        <v>51</v>
      </c>
      <c r="G34" s="175">
        <v>2</v>
      </c>
      <c r="H34" s="175">
        <v>6</v>
      </c>
      <c r="I34" s="175">
        <v>11</v>
      </c>
    </row>
    <row r="35" spans="2:9" s="55" customFormat="1" ht="12.95" customHeight="1">
      <c r="B35" s="91"/>
      <c r="C35" s="91"/>
      <c r="D35" s="170">
        <v>2016</v>
      </c>
      <c r="E35" s="175">
        <f>SUM(F35:I35)</f>
        <v>21</v>
      </c>
      <c r="F35" s="175">
        <v>1</v>
      </c>
      <c r="G35" s="175">
        <v>8</v>
      </c>
      <c r="H35" s="175">
        <v>3</v>
      </c>
      <c r="I35" s="175">
        <v>9</v>
      </c>
    </row>
    <row r="36" spans="2:9" s="55" customFormat="1" ht="12.95" customHeight="1">
      <c r="B36" s="91"/>
      <c r="C36" s="91"/>
      <c r="D36" s="170">
        <v>2017</v>
      </c>
      <c r="E36" s="175">
        <f>F36+G36+H36+I36</f>
        <v>13</v>
      </c>
      <c r="F36" s="175">
        <v>1</v>
      </c>
      <c r="G36" s="175">
        <v>5</v>
      </c>
      <c r="H36" s="175">
        <v>2</v>
      </c>
      <c r="I36" s="175">
        <v>5</v>
      </c>
    </row>
    <row r="37" spans="2:9" s="55" customFormat="1" ht="12.95" customHeight="1">
      <c r="B37" s="91"/>
      <c r="C37" s="91"/>
      <c r="D37" s="170"/>
      <c r="E37" s="175"/>
      <c r="F37" s="175"/>
      <c r="G37" s="175"/>
      <c r="H37" s="175"/>
      <c r="I37" s="175"/>
    </row>
    <row r="38" spans="2:9" s="55" customFormat="1" ht="12.95" customHeight="1">
      <c r="B38" s="91" t="s">
        <v>35</v>
      </c>
      <c r="C38" s="91"/>
      <c r="D38" s="170">
        <v>2015</v>
      </c>
      <c r="E38" s="175">
        <f>SUM(F38:I38)</f>
        <v>263</v>
      </c>
      <c r="F38" s="173">
        <v>6</v>
      </c>
      <c r="G38" s="175">
        <v>25</v>
      </c>
      <c r="H38" s="175">
        <v>159</v>
      </c>
      <c r="I38" s="175">
        <v>73</v>
      </c>
    </row>
    <row r="39" spans="2:9" s="55" customFormat="1" ht="12.95" customHeight="1">
      <c r="B39" s="91"/>
      <c r="C39" s="91"/>
      <c r="D39" s="170">
        <v>2016</v>
      </c>
      <c r="E39" s="175">
        <f>SUM(F39:I39)</f>
        <v>257</v>
      </c>
      <c r="F39" s="173">
        <v>5</v>
      </c>
      <c r="G39" s="175">
        <v>43</v>
      </c>
      <c r="H39" s="175">
        <v>138</v>
      </c>
      <c r="I39" s="175">
        <v>71</v>
      </c>
    </row>
    <row r="40" spans="2:9" s="55" customFormat="1" ht="12.95" customHeight="1">
      <c r="B40" s="91"/>
      <c r="C40" s="91"/>
      <c r="D40" s="170">
        <v>2017</v>
      </c>
      <c r="E40" s="175">
        <f>F40+G40+H40+I40</f>
        <v>324</v>
      </c>
      <c r="F40" s="173">
        <v>4</v>
      </c>
      <c r="G40" s="175">
        <v>81</v>
      </c>
      <c r="H40" s="175">
        <v>185</v>
      </c>
      <c r="I40" s="175">
        <v>54</v>
      </c>
    </row>
    <row r="41" spans="2:9" s="55" customFormat="1" ht="12.95" customHeight="1">
      <c r="B41" s="91"/>
      <c r="C41" s="91"/>
      <c r="D41" s="170"/>
      <c r="E41" s="175"/>
      <c r="F41" s="173"/>
      <c r="G41" s="175"/>
      <c r="H41" s="175"/>
      <c r="I41" s="175"/>
    </row>
    <row r="42" spans="2:9" s="55" customFormat="1" ht="12.95" customHeight="1">
      <c r="B42" s="91" t="s">
        <v>41</v>
      </c>
      <c r="C42" s="91"/>
      <c r="D42" s="170">
        <v>2015</v>
      </c>
      <c r="E42" s="175">
        <f>SUM(F42:I42)</f>
        <v>49</v>
      </c>
      <c r="F42" s="175">
        <v>1</v>
      </c>
      <c r="G42" s="175">
        <v>7</v>
      </c>
      <c r="H42" s="175">
        <v>23</v>
      </c>
      <c r="I42" s="175">
        <v>18</v>
      </c>
    </row>
    <row r="43" spans="2:9" s="55" customFormat="1" ht="12.95" customHeight="1">
      <c r="B43" s="91"/>
      <c r="C43" s="91"/>
      <c r="D43" s="170">
        <v>2016</v>
      </c>
      <c r="E43" s="175">
        <f>SUM(F43:I43)</f>
        <v>44</v>
      </c>
      <c r="F43" s="175">
        <v>1</v>
      </c>
      <c r="G43" s="175">
        <v>8</v>
      </c>
      <c r="H43" s="175">
        <v>25</v>
      </c>
      <c r="I43" s="175">
        <v>10</v>
      </c>
    </row>
    <row r="44" spans="2:9" s="55" customFormat="1" ht="12.95" customHeight="1">
      <c r="B44" s="91"/>
      <c r="C44" s="91"/>
      <c r="D44" s="170">
        <v>2017</v>
      </c>
      <c r="E44" s="175">
        <f>G44+H44+I44</f>
        <v>36</v>
      </c>
      <c r="F44" s="173" t="s">
        <v>51</v>
      </c>
      <c r="G44" s="175">
        <v>13</v>
      </c>
      <c r="H44" s="175">
        <v>12</v>
      </c>
      <c r="I44" s="175">
        <v>11</v>
      </c>
    </row>
    <row r="45" spans="2:9" s="55" customFormat="1" ht="12.95" customHeight="1">
      <c r="B45" s="91"/>
      <c r="C45" s="91"/>
      <c r="D45" s="170"/>
      <c r="E45" s="175"/>
      <c r="F45" s="175"/>
      <c r="G45" s="175"/>
      <c r="H45" s="175"/>
      <c r="I45" s="175"/>
    </row>
    <row r="46" spans="2:9" s="55" customFormat="1" ht="12.95" customHeight="1">
      <c r="B46" s="91" t="s">
        <v>37</v>
      </c>
      <c r="C46" s="91"/>
      <c r="D46" s="170">
        <v>2015</v>
      </c>
      <c r="E46" s="175">
        <f>SUM(F46:I46)</f>
        <v>19</v>
      </c>
      <c r="F46" s="173">
        <v>1</v>
      </c>
      <c r="G46" s="175">
        <v>4</v>
      </c>
      <c r="H46" s="175">
        <v>8</v>
      </c>
      <c r="I46" s="175">
        <v>6</v>
      </c>
    </row>
    <row r="47" spans="2:9" s="55" customFormat="1" ht="12.95" customHeight="1">
      <c r="B47" s="91"/>
      <c r="C47" s="91"/>
      <c r="D47" s="170">
        <v>2016</v>
      </c>
      <c r="E47" s="175">
        <f>SUM(F47:I47)</f>
        <v>19</v>
      </c>
      <c r="F47" s="173">
        <v>1</v>
      </c>
      <c r="G47" s="175">
        <v>8</v>
      </c>
      <c r="H47" s="175">
        <v>5</v>
      </c>
      <c r="I47" s="175">
        <v>5</v>
      </c>
    </row>
    <row r="48" spans="2:9" s="55" customFormat="1" ht="12.95" customHeight="1">
      <c r="B48" s="91"/>
      <c r="C48" s="91"/>
      <c r="D48" s="170">
        <v>2017</v>
      </c>
      <c r="E48" s="175">
        <f>G48+H48+I48</f>
        <v>33</v>
      </c>
      <c r="F48" s="173" t="s">
        <v>51</v>
      </c>
      <c r="G48" s="175">
        <v>13</v>
      </c>
      <c r="H48" s="175">
        <v>9</v>
      </c>
      <c r="I48" s="175">
        <v>11</v>
      </c>
    </row>
    <row r="49" spans="1:10" s="55" customFormat="1" ht="12.95" customHeight="1">
      <c r="B49" s="91"/>
      <c r="C49" s="91"/>
      <c r="D49" s="170"/>
      <c r="E49" s="175"/>
      <c r="F49" s="175"/>
      <c r="G49" s="175"/>
      <c r="H49" s="175"/>
      <c r="I49" s="175"/>
    </row>
    <row r="50" spans="1:10" s="55" customFormat="1" ht="12.95" customHeight="1">
      <c r="B50" s="91" t="s">
        <v>38</v>
      </c>
      <c r="C50" s="91"/>
      <c r="D50" s="170">
        <v>2015</v>
      </c>
      <c r="E50" s="175">
        <f>SUM(F50:I50)</f>
        <v>21</v>
      </c>
      <c r="F50" s="175" t="s">
        <v>51</v>
      </c>
      <c r="G50" s="175">
        <v>2</v>
      </c>
      <c r="H50" s="175">
        <v>4</v>
      </c>
      <c r="I50" s="175">
        <v>15</v>
      </c>
    </row>
    <row r="51" spans="1:10" s="55" customFormat="1" ht="12.95" customHeight="1">
      <c r="B51" s="91"/>
      <c r="C51" s="91"/>
      <c r="D51" s="170">
        <v>2016</v>
      </c>
      <c r="E51" s="175">
        <f>SUM(F51:I51)</f>
        <v>23</v>
      </c>
      <c r="F51" s="175">
        <v>2</v>
      </c>
      <c r="G51" s="175">
        <v>7</v>
      </c>
      <c r="H51" s="175">
        <v>2</v>
      </c>
      <c r="I51" s="175">
        <v>12</v>
      </c>
    </row>
    <row r="52" spans="1:10" s="55" customFormat="1" ht="12.95" customHeight="1">
      <c r="B52" s="91"/>
      <c r="C52" s="91"/>
      <c r="D52" s="170">
        <v>2017</v>
      </c>
      <c r="E52" s="175">
        <f>F52+G52+H52+I52</f>
        <v>22</v>
      </c>
      <c r="F52" s="175">
        <v>2</v>
      </c>
      <c r="G52" s="175">
        <v>6</v>
      </c>
      <c r="H52" s="175">
        <v>2</v>
      </c>
      <c r="I52" s="175">
        <v>12</v>
      </c>
    </row>
    <row r="53" spans="1:10" s="55" customFormat="1" ht="12.95" customHeight="1">
      <c r="B53" s="91"/>
      <c r="C53" s="91"/>
      <c r="D53" s="170"/>
      <c r="E53" s="175"/>
      <c r="F53" s="175"/>
      <c r="G53" s="175"/>
      <c r="H53" s="175"/>
      <c r="I53" s="175"/>
    </row>
    <row r="54" spans="1:10" s="55" customFormat="1" ht="12.95" customHeight="1">
      <c r="B54" s="91" t="s">
        <v>40</v>
      </c>
      <c r="C54" s="91"/>
      <c r="D54" s="170">
        <v>2015</v>
      </c>
      <c r="E54" s="175">
        <f>SUM(F54:I54)</f>
        <v>44</v>
      </c>
      <c r="F54" s="173">
        <v>1</v>
      </c>
      <c r="G54" s="175">
        <v>9</v>
      </c>
      <c r="H54" s="175">
        <v>17</v>
      </c>
      <c r="I54" s="175">
        <v>17</v>
      </c>
    </row>
    <row r="55" spans="1:10" s="55" customFormat="1" ht="12.95" customHeight="1">
      <c r="B55" s="91"/>
      <c r="C55" s="91"/>
      <c r="D55" s="170">
        <v>2016</v>
      </c>
      <c r="E55" s="175">
        <f>SUM(F55:I55)</f>
        <v>44</v>
      </c>
      <c r="F55" s="173" t="s">
        <v>51</v>
      </c>
      <c r="G55" s="175">
        <v>19</v>
      </c>
      <c r="H55" s="175">
        <v>10</v>
      </c>
      <c r="I55" s="175">
        <v>15</v>
      </c>
    </row>
    <row r="56" spans="1:10" s="55" customFormat="1" ht="12.95" customHeight="1">
      <c r="B56" s="91"/>
      <c r="C56" s="91"/>
      <c r="D56" s="170">
        <v>2017</v>
      </c>
      <c r="E56" s="175">
        <f>F56+G56+H56+I56</f>
        <v>42</v>
      </c>
      <c r="F56" s="173">
        <v>2</v>
      </c>
      <c r="G56" s="175">
        <v>12</v>
      </c>
      <c r="H56" s="175">
        <v>10</v>
      </c>
      <c r="I56" s="175">
        <v>18</v>
      </c>
    </row>
    <row r="57" spans="1:10" s="55" customFormat="1" ht="12.95" customHeight="1">
      <c r="B57" s="91"/>
      <c r="C57" s="91"/>
      <c r="D57" s="170"/>
      <c r="E57" s="175"/>
      <c r="F57" s="173"/>
      <c r="G57" s="175"/>
      <c r="H57" s="175"/>
      <c r="I57" s="175"/>
    </row>
    <row r="58" spans="1:10" s="55" customFormat="1" ht="12.95" customHeight="1">
      <c r="B58" s="91" t="s">
        <v>39</v>
      </c>
      <c r="C58" s="91"/>
      <c r="D58" s="170">
        <v>2015</v>
      </c>
      <c r="E58" s="175">
        <f>SUM(F58:I58)</f>
        <v>66</v>
      </c>
      <c r="F58" s="175">
        <v>1</v>
      </c>
      <c r="G58" s="175">
        <v>18</v>
      </c>
      <c r="H58" s="175">
        <v>25</v>
      </c>
      <c r="I58" s="175">
        <v>22</v>
      </c>
    </row>
    <row r="59" spans="1:10" s="55" customFormat="1" ht="12.95" customHeight="1">
      <c r="B59" s="91"/>
      <c r="C59" s="91"/>
      <c r="D59" s="170">
        <v>2016</v>
      </c>
      <c r="E59" s="175">
        <f>SUM(F59:I59)</f>
        <v>79</v>
      </c>
      <c r="F59" s="175" t="s">
        <v>51</v>
      </c>
      <c r="G59" s="175">
        <v>18</v>
      </c>
      <c r="H59" s="175">
        <v>44</v>
      </c>
      <c r="I59" s="175">
        <v>17</v>
      </c>
    </row>
    <row r="60" spans="1:10" s="55" customFormat="1" ht="12.95" customHeight="1">
      <c r="B60" s="91"/>
      <c r="C60" s="91"/>
      <c r="D60" s="170">
        <v>2017</v>
      </c>
      <c r="E60" s="175">
        <f>F60+G60+H60+I60</f>
        <v>55</v>
      </c>
      <c r="F60" s="175">
        <v>2</v>
      </c>
      <c r="G60" s="175">
        <v>8</v>
      </c>
      <c r="H60" s="175">
        <v>27</v>
      </c>
      <c r="I60" s="175">
        <v>18</v>
      </c>
    </row>
    <row r="61" spans="1:10" s="55" customFormat="1" ht="8.1" customHeight="1" thickBot="1">
      <c r="A61" s="283"/>
      <c r="B61" s="284"/>
      <c r="C61" s="284"/>
      <c r="D61" s="284"/>
      <c r="E61" s="285"/>
      <c r="F61" s="286"/>
      <c r="G61" s="286"/>
      <c r="H61" s="286"/>
      <c r="I61" s="287"/>
      <c r="J61" s="283"/>
    </row>
    <row r="62" spans="1:10" s="55" customFormat="1" ht="12.75">
      <c r="B62" s="124"/>
      <c r="C62" s="124"/>
      <c r="D62" s="124"/>
      <c r="E62" s="70"/>
      <c r="F62" s="123"/>
      <c r="G62" s="123"/>
      <c r="H62" s="123"/>
      <c r="I62" s="265"/>
      <c r="J62" s="8" t="s">
        <v>104</v>
      </c>
    </row>
    <row r="63" spans="1:10" s="55" customFormat="1" ht="12.75">
      <c r="B63" s="124"/>
      <c r="C63" s="124"/>
      <c r="D63" s="124"/>
      <c r="E63" s="70"/>
      <c r="F63" s="123"/>
      <c r="G63" s="123"/>
      <c r="H63" s="123"/>
      <c r="I63" s="265"/>
      <c r="J63" s="41" t="s">
        <v>1</v>
      </c>
    </row>
  </sheetData>
  <mergeCells count="7">
    <mergeCell ref="I11:I12"/>
    <mergeCell ref="B11:C12"/>
    <mergeCell ref="D11:D12"/>
    <mergeCell ref="E11:E12"/>
    <mergeCell ref="F11:F12"/>
    <mergeCell ref="G11:G12"/>
    <mergeCell ref="H11:H12"/>
  </mergeCells>
  <pageMargins left="0.39370078740157483" right="0.39370078740157483" top="0.59055118110236227" bottom="0.59055118110236227" header="0.31496062992125984" footer="0.31496062992125984"/>
  <pageSetup paperSize="9" scale="95" fitToWidth="0" orientation="portrait" r:id="rId1"/>
  <headerFooter>
    <oddHeader xml:space="preserve">&amp;R&amp;"-,Bold"
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80"/>
  <sheetViews>
    <sheetView showGridLines="0" topLeftCell="A14" zoomScale="80" zoomScaleNormal="80" zoomScaleSheetLayoutView="100" workbookViewId="0">
      <selection activeCell="O30" sqref="O30"/>
    </sheetView>
  </sheetViews>
  <sheetFormatPr defaultRowHeight="15"/>
  <cols>
    <col min="1" max="1" width="1.28515625" style="299" customWidth="1"/>
    <col min="2" max="2" width="10.140625" style="3" customWidth="1"/>
    <col min="3" max="3" width="8.140625" style="3" customWidth="1"/>
    <col min="4" max="4" width="9.28515625" style="3" customWidth="1"/>
    <col min="5" max="5" width="14.5703125" style="21" customWidth="1"/>
    <col min="6" max="8" width="13.140625" style="22" customWidth="1"/>
    <col min="9" max="9" width="16.42578125" style="299" customWidth="1"/>
    <col min="10" max="10" width="1" style="2" customWidth="1"/>
    <col min="11" max="16384" width="9.140625" style="2"/>
  </cols>
  <sheetData>
    <row r="1" spans="1:10" ht="9.9499999999999993" customHeight="1">
      <c r="A1" s="2"/>
      <c r="B1" s="3" t="s">
        <v>224</v>
      </c>
      <c r="I1" s="5"/>
    </row>
    <row r="2" spans="1:10" s="30" customFormat="1" ht="12.95" customHeight="1">
      <c r="B2" s="27"/>
      <c r="C2" s="27"/>
      <c r="D2" s="29"/>
      <c r="E2" s="28"/>
      <c r="F2" s="29"/>
      <c r="I2" s="199" t="s">
        <v>188</v>
      </c>
      <c r="J2" s="29"/>
    </row>
    <row r="3" spans="1:10" s="30" customFormat="1" ht="12.95" customHeight="1">
      <c r="B3" s="27"/>
      <c r="C3" s="27"/>
      <c r="D3" s="29"/>
      <c r="E3" s="28"/>
      <c r="F3" s="29"/>
      <c r="I3" s="75" t="s">
        <v>189</v>
      </c>
      <c r="J3" s="29"/>
    </row>
    <row r="4" spans="1:10" s="30" customFormat="1" ht="12" customHeight="1">
      <c r="B4" s="27"/>
      <c r="C4" s="27"/>
      <c r="D4" s="29"/>
      <c r="E4" s="28"/>
      <c r="F4" s="29"/>
      <c r="G4" s="75"/>
      <c r="J4" s="29"/>
    </row>
    <row r="5" spans="1:10" s="30" customFormat="1" ht="12" customHeight="1">
      <c r="B5" s="27"/>
      <c r="C5" s="27"/>
      <c r="D5" s="29"/>
      <c r="E5" s="28"/>
      <c r="F5" s="29"/>
      <c r="G5" s="75"/>
      <c r="J5" s="29"/>
    </row>
    <row r="6" spans="1:10" s="55" customFormat="1" ht="9.75" customHeight="1">
      <c r="B6" s="124"/>
      <c r="C6" s="124"/>
      <c r="D6" s="265"/>
      <c r="E6" s="266"/>
      <c r="F6" s="265"/>
      <c r="G6" s="265"/>
      <c r="H6" s="267"/>
      <c r="I6" s="265"/>
      <c r="J6" s="123"/>
    </row>
    <row r="7" spans="1:10" s="55" customFormat="1" ht="15" customHeight="1">
      <c r="B7" s="88" t="s">
        <v>225</v>
      </c>
      <c r="C7" s="71" t="s">
        <v>230</v>
      </c>
      <c r="D7" s="124"/>
      <c r="E7" s="71"/>
      <c r="F7" s="71"/>
      <c r="G7" s="71"/>
      <c r="H7" s="71"/>
      <c r="I7" s="71"/>
      <c r="J7" s="71"/>
    </row>
    <row r="8" spans="1:10" s="72" customFormat="1" ht="15" customHeight="1">
      <c r="B8" s="89" t="s">
        <v>227</v>
      </c>
      <c r="C8" s="74" t="s">
        <v>231</v>
      </c>
      <c r="E8" s="74"/>
      <c r="F8" s="74"/>
      <c r="G8" s="74"/>
      <c r="H8" s="74"/>
      <c r="I8" s="74"/>
      <c r="J8" s="74"/>
    </row>
    <row r="9" spans="1:10" s="55" customFormat="1" ht="6.75" customHeight="1" thickBot="1">
      <c r="B9" s="124"/>
      <c r="C9" s="124"/>
      <c r="D9" s="124"/>
      <c r="E9" s="70"/>
      <c r="F9" s="123"/>
      <c r="G9" s="123"/>
      <c r="H9" s="123"/>
      <c r="I9" s="265"/>
    </row>
    <row r="10" spans="1:10" s="55" customFormat="1" ht="9.9499999999999993" customHeight="1" thickTop="1">
      <c r="A10" s="268"/>
      <c r="B10" s="269"/>
      <c r="C10" s="269"/>
      <c r="D10" s="270"/>
      <c r="E10" s="271"/>
      <c r="F10" s="272"/>
      <c r="G10" s="272"/>
      <c r="H10" s="272"/>
      <c r="I10" s="273"/>
      <c r="J10" s="268"/>
    </row>
    <row r="11" spans="1:10" s="55" customFormat="1" ht="21" customHeight="1">
      <c r="A11" s="249"/>
      <c r="B11" s="274" t="s">
        <v>229</v>
      </c>
      <c r="C11" s="274"/>
      <c r="D11" s="253" t="s">
        <v>100</v>
      </c>
      <c r="E11" s="253" t="s">
        <v>95</v>
      </c>
      <c r="F11" s="275" t="s">
        <v>207</v>
      </c>
      <c r="G11" s="275" t="s">
        <v>208</v>
      </c>
      <c r="H11" s="275" t="s">
        <v>209</v>
      </c>
      <c r="I11" s="275" t="s">
        <v>210</v>
      </c>
      <c r="J11" s="276"/>
    </row>
    <row r="12" spans="1:10" s="55" customFormat="1" ht="15.75" customHeight="1">
      <c r="A12" s="277"/>
      <c r="B12" s="278"/>
      <c r="C12" s="278"/>
      <c r="D12" s="259"/>
      <c r="E12" s="259"/>
      <c r="F12" s="279"/>
      <c r="G12" s="279"/>
      <c r="H12" s="279"/>
      <c r="I12" s="279"/>
      <c r="J12" s="56"/>
    </row>
    <row r="13" spans="1:10" s="55" customFormat="1" ht="6" customHeight="1">
      <c r="A13" s="125"/>
      <c r="B13" s="243"/>
      <c r="C13" s="243"/>
      <c r="D13" s="99"/>
      <c r="E13" s="99"/>
      <c r="F13" s="280"/>
      <c r="G13" s="280"/>
      <c r="H13" s="280"/>
      <c r="I13" s="280"/>
      <c r="J13" s="95"/>
    </row>
    <row r="14" spans="1:10" s="55" customFormat="1" ht="12.95" customHeight="1">
      <c r="A14" s="298"/>
      <c r="B14" s="133" t="s">
        <v>182</v>
      </c>
      <c r="C14" s="133"/>
      <c r="D14" s="69">
        <v>2015</v>
      </c>
      <c r="E14" s="174">
        <f>SUM(F14:I14)</f>
        <v>1288</v>
      </c>
      <c r="F14" s="174">
        <v>50</v>
      </c>
      <c r="G14" s="174">
        <v>92</v>
      </c>
      <c r="H14" s="174">
        <v>774</v>
      </c>
      <c r="I14" s="174">
        <v>372</v>
      </c>
    </row>
    <row r="15" spans="1:10" s="55" customFormat="1" ht="12.95" customHeight="1">
      <c r="A15" s="298"/>
      <c r="B15" s="133"/>
      <c r="C15" s="133"/>
      <c r="D15" s="69">
        <v>2016</v>
      </c>
      <c r="E15" s="174">
        <f>SUM(F15:I15)</f>
        <v>1295</v>
      </c>
      <c r="F15" s="174">
        <v>42</v>
      </c>
      <c r="G15" s="174">
        <v>96</v>
      </c>
      <c r="H15" s="174">
        <v>745</v>
      </c>
      <c r="I15" s="174">
        <v>412</v>
      </c>
    </row>
    <row r="16" spans="1:10" s="55" customFormat="1" ht="12.95" customHeight="1">
      <c r="A16" s="298"/>
      <c r="B16" s="133"/>
      <c r="C16" s="133"/>
      <c r="D16" s="69">
        <v>2017</v>
      </c>
      <c r="E16" s="174">
        <f>F16+G16+H16+I16</f>
        <v>1140</v>
      </c>
      <c r="F16" s="174">
        <f>F20+F24+F28+F32+F36+F40+F44+F48+F64+F68+F76</f>
        <v>35</v>
      </c>
      <c r="G16" s="174">
        <f t="shared" ref="G16" si="0">G20+G24+G28+G32+G36+G40+G44+G48+G52+G56+G60+G64+G68+G72+G76</f>
        <v>95</v>
      </c>
      <c r="H16" s="174">
        <f>H20+H24+H28+H32+H36+H40+H44+H48+H56+H60+H64+H68+H72+H76</f>
        <v>630</v>
      </c>
      <c r="I16" s="174">
        <f>I20+I24+I28+I32+I36+I40+I44+I48+I56+I60+I64+I68+I72+I76</f>
        <v>380</v>
      </c>
    </row>
    <row r="17" spans="1:9" s="55" customFormat="1" ht="6" customHeight="1">
      <c r="A17" s="298"/>
      <c r="B17" s="133"/>
      <c r="C17" s="133"/>
      <c r="D17" s="69"/>
      <c r="E17" s="174"/>
      <c r="F17" s="174"/>
      <c r="G17" s="174"/>
      <c r="H17" s="174"/>
      <c r="I17" s="174"/>
    </row>
    <row r="18" spans="1:9" s="55" customFormat="1" ht="12.95" customHeight="1">
      <c r="A18" s="92"/>
      <c r="B18" s="91" t="s">
        <v>69</v>
      </c>
      <c r="C18" s="91"/>
      <c r="D18" s="170">
        <v>2015</v>
      </c>
      <c r="E18" s="175">
        <f>SUM(F18:I18)</f>
        <v>26</v>
      </c>
      <c r="F18" s="175">
        <v>1</v>
      </c>
      <c r="G18" s="175" t="s">
        <v>51</v>
      </c>
      <c r="H18" s="175">
        <v>17</v>
      </c>
      <c r="I18" s="175">
        <v>8</v>
      </c>
    </row>
    <row r="19" spans="1:9" s="55" customFormat="1" ht="12.95" customHeight="1">
      <c r="A19" s="92"/>
      <c r="B19" s="91"/>
      <c r="C19" s="91"/>
      <c r="D19" s="170">
        <v>2016</v>
      </c>
      <c r="E19" s="175">
        <f>SUM(F19:I19)</f>
        <v>28</v>
      </c>
      <c r="F19" s="175">
        <v>2</v>
      </c>
      <c r="G19" s="175">
        <v>2</v>
      </c>
      <c r="H19" s="175">
        <v>20</v>
      </c>
      <c r="I19" s="175">
        <v>4</v>
      </c>
    </row>
    <row r="20" spans="1:9" s="55" customFormat="1" ht="12.95" customHeight="1">
      <c r="A20" s="92"/>
      <c r="B20" s="91"/>
      <c r="C20" s="91"/>
      <c r="D20" s="170">
        <v>2017</v>
      </c>
      <c r="E20" s="175">
        <f>F20+G20+H20+I20</f>
        <v>23</v>
      </c>
      <c r="F20" s="175">
        <v>1</v>
      </c>
      <c r="G20" s="175">
        <v>3</v>
      </c>
      <c r="H20" s="175">
        <v>12</v>
      </c>
      <c r="I20" s="175">
        <v>7</v>
      </c>
    </row>
    <row r="21" spans="1:9" s="55" customFormat="1" ht="6" customHeight="1">
      <c r="A21" s="92"/>
      <c r="B21" s="91"/>
      <c r="C21" s="91"/>
      <c r="D21" s="170"/>
      <c r="E21" s="175"/>
      <c r="F21" s="175"/>
      <c r="G21" s="175"/>
      <c r="H21" s="175"/>
      <c r="I21" s="175"/>
    </row>
    <row r="22" spans="1:9" s="55" customFormat="1" ht="12.95" customHeight="1">
      <c r="A22" s="92"/>
      <c r="B22" s="91" t="s">
        <v>70</v>
      </c>
      <c r="C22" s="91"/>
      <c r="D22" s="170">
        <v>2015</v>
      </c>
      <c r="E22" s="175">
        <f>SUM(F22:I22)</f>
        <v>13</v>
      </c>
      <c r="F22" s="175">
        <v>1</v>
      </c>
      <c r="G22" s="175">
        <v>6</v>
      </c>
      <c r="H22" s="175">
        <v>4</v>
      </c>
      <c r="I22" s="175">
        <v>2</v>
      </c>
    </row>
    <row r="23" spans="1:9" s="55" customFormat="1" ht="12.95" customHeight="1">
      <c r="A23" s="92"/>
      <c r="B23" s="91"/>
      <c r="C23" s="91"/>
      <c r="D23" s="170">
        <v>2016</v>
      </c>
      <c r="E23" s="175">
        <f>SUM(F23:I23)</f>
        <v>15</v>
      </c>
      <c r="F23" s="175">
        <v>1</v>
      </c>
      <c r="G23" s="175">
        <v>5</v>
      </c>
      <c r="H23" s="175">
        <v>3</v>
      </c>
      <c r="I23" s="175">
        <v>6</v>
      </c>
    </row>
    <row r="24" spans="1:9" s="55" customFormat="1" ht="12.95" customHeight="1">
      <c r="A24" s="92"/>
      <c r="B24" s="91"/>
      <c r="C24" s="91"/>
      <c r="D24" s="170">
        <v>2017</v>
      </c>
      <c r="E24" s="175">
        <f>F24+G24+H24+I24</f>
        <v>16</v>
      </c>
      <c r="F24" s="175">
        <v>2</v>
      </c>
      <c r="G24" s="175">
        <v>5</v>
      </c>
      <c r="H24" s="175">
        <v>3</v>
      </c>
      <c r="I24" s="175">
        <v>6</v>
      </c>
    </row>
    <row r="25" spans="1:9" s="55" customFormat="1" ht="8.1" customHeight="1">
      <c r="A25" s="92"/>
      <c r="B25" s="91"/>
      <c r="C25" s="91"/>
      <c r="D25" s="170"/>
      <c r="E25" s="175"/>
      <c r="F25" s="175"/>
      <c r="G25" s="175"/>
      <c r="H25" s="175"/>
      <c r="I25" s="175"/>
    </row>
    <row r="26" spans="1:9" s="124" customFormat="1" ht="12.95" customHeight="1">
      <c r="A26" s="92"/>
      <c r="B26" s="91" t="s">
        <v>46</v>
      </c>
      <c r="C26" s="91"/>
      <c r="D26" s="170">
        <v>2015</v>
      </c>
      <c r="E26" s="175">
        <f>SUM(F26:I26)</f>
        <v>152</v>
      </c>
      <c r="F26" s="175">
        <v>3</v>
      </c>
      <c r="G26" s="175">
        <v>11</v>
      </c>
      <c r="H26" s="175">
        <v>71</v>
      </c>
      <c r="I26" s="175">
        <v>67</v>
      </c>
    </row>
    <row r="27" spans="1:9" s="55" customFormat="1" ht="12.95" customHeight="1">
      <c r="A27" s="92"/>
      <c r="B27" s="91"/>
      <c r="C27" s="91"/>
      <c r="D27" s="170">
        <v>2016</v>
      </c>
      <c r="E27" s="175">
        <f>SUM(F27:I27)</f>
        <v>140</v>
      </c>
      <c r="F27" s="175">
        <v>6</v>
      </c>
      <c r="G27" s="175">
        <v>12</v>
      </c>
      <c r="H27" s="175">
        <v>57</v>
      </c>
      <c r="I27" s="175">
        <v>65</v>
      </c>
    </row>
    <row r="28" spans="1:9" s="55" customFormat="1" ht="12.95" customHeight="1">
      <c r="A28" s="92"/>
      <c r="B28" s="91"/>
      <c r="C28" s="91"/>
      <c r="D28" s="170">
        <v>2017</v>
      </c>
      <c r="E28" s="175">
        <f>F28+G28+H28+I28</f>
        <v>128</v>
      </c>
      <c r="F28" s="175">
        <v>5</v>
      </c>
      <c r="G28" s="175">
        <v>7</v>
      </c>
      <c r="H28" s="175">
        <v>49</v>
      </c>
      <c r="I28" s="175">
        <v>67</v>
      </c>
    </row>
    <row r="29" spans="1:9" s="55" customFormat="1" ht="8.1" customHeight="1">
      <c r="A29" s="92"/>
      <c r="B29" s="91"/>
      <c r="C29" s="91"/>
      <c r="D29" s="170"/>
      <c r="E29" s="175"/>
      <c r="F29" s="175"/>
      <c r="G29" s="175"/>
      <c r="H29" s="175"/>
      <c r="I29" s="175"/>
    </row>
    <row r="30" spans="1:9" s="55" customFormat="1" ht="12.95" customHeight="1">
      <c r="A30" s="92"/>
      <c r="B30" s="91" t="s">
        <v>71</v>
      </c>
      <c r="C30" s="91"/>
      <c r="D30" s="170">
        <v>2015</v>
      </c>
      <c r="E30" s="175">
        <f>SUM(F30:I30)</f>
        <v>537</v>
      </c>
      <c r="F30" s="175">
        <v>15</v>
      </c>
      <c r="G30" s="175">
        <v>16</v>
      </c>
      <c r="H30" s="175">
        <v>411</v>
      </c>
      <c r="I30" s="175">
        <v>95</v>
      </c>
    </row>
    <row r="31" spans="1:9" s="55" customFormat="1" ht="12.95" customHeight="1">
      <c r="A31" s="92"/>
      <c r="B31" s="91"/>
      <c r="C31" s="91"/>
      <c r="D31" s="170">
        <v>2016</v>
      </c>
      <c r="E31" s="175">
        <f>SUM(F31:I31)</f>
        <v>508</v>
      </c>
      <c r="F31" s="175">
        <v>13</v>
      </c>
      <c r="G31" s="175">
        <v>14</v>
      </c>
      <c r="H31" s="175">
        <v>361</v>
      </c>
      <c r="I31" s="175">
        <v>120</v>
      </c>
    </row>
    <row r="32" spans="1:9" s="55" customFormat="1" ht="12.95" customHeight="1">
      <c r="A32" s="92"/>
      <c r="B32" s="91"/>
      <c r="C32" s="91"/>
      <c r="D32" s="170">
        <v>2017</v>
      </c>
      <c r="E32" s="175">
        <f>F32+G32+H32+I32</f>
        <v>450</v>
      </c>
      <c r="F32" s="175">
        <v>9</v>
      </c>
      <c r="G32" s="175">
        <v>13</v>
      </c>
      <c r="H32" s="175">
        <v>307</v>
      </c>
      <c r="I32" s="175">
        <v>121</v>
      </c>
    </row>
    <row r="33" spans="1:9" s="55" customFormat="1" ht="8.1" customHeight="1">
      <c r="A33" s="92"/>
      <c r="B33" s="91"/>
      <c r="C33" s="91"/>
      <c r="D33" s="170"/>
      <c r="E33" s="175"/>
      <c r="F33" s="175"/>
      <c r="G33" s="175"/>
      <c r="H33" s="175"/>
      <c r="I33" s="175"/>
    </row>
    <row r="34" spans="1:9" s="55" customFormat="1" ht="12.95" customHeight="1">
      <c r="A34" s="92"/>
      <c r="B34" s="91" t="s">
        <v>48</v>
      </c>
      <c r="C34" s="91"/>
      <c r="D34" s="170">
        <v>2015</v>
      </c>
      <c r="E34" s="175">
        <f>SUM(F34:I34)</f>
        <v>48</v>
      </c>
      <c r="F34" s="175">
        <v>1</v>
      </c>
      <c r="G34" s="175">
        <v>2</v>
      </c>
      <c r="H34" s="175">
        <v>30</v>
      </c>
      <c r="I34" s="175">
        <v>15</v>
      </c>
    </row>
    <row r="35" spans="1:9" s="55" customFormat="1" ht="12.95" customHeight="1">
      <c r="A35" s="92"/>
      <c r="B35" s="91"/>
      <c r="C35" s="91"/>
      <c r="D35" s="170">
        <v>2016</v>
      </c>
      <c r="E35" s="175">
        <f>SUM(F35:I35)</f>
        <v>41</v>
      </c>
      <c r="F35" s="175">
        <v>1</v>
      </c>
      <c r="G35" s="175">
        <v>2</v>
      </c>
      <c r="H35" s="175">
        <v>27</v>
      </c>
      <c r="I35" s="175">
        <v>11</v>
      </c>
    </row>
    <row r="36" spans="1:9" s="55" customFormat="1" ht="12.95" customHeight="1">
      <c r="A36" s="92"/>
      <c r="B36" s="91"/>
      <c r="C36" s="91"/>
      <c r="D36" s="170">
        <v>2017</v>
      </c>
      <c r="E36" s="175">
        <f>F36+G36+H36+I36</f>
        <v>36</v>
      </c>
      <c r="F36" s="175">
        <v>2</v>
      </c>
      <c r="G36" s="175">
        <v>3</v>
      </c>
      <c r="H36" s="175">
        <v>22</v>
      </c>
      <c r="I36" s="175">
        <v>9</v>
      </c>
    </row>
    <row r="37" spans="1:9" s="55" customFormat="1" ht="8.1" customHeight="1">
      <c r="A37" s="92"/>
      <c r="B37" s="91"/>
      <c r="C37" s="91"/>
      <c r="D37" s="170"/>
      <c r="E37" s="175"/>
      <c r="F37" s="175"/>
      <c r="G37" s="175"/>
      <c r="H37" s="175"/>
      <c r="I37" s="175"/>
    </row>
    <row r="38" spans="1:9" s="55" customFormat="1" ht="12.95" customHeight="1">
      <c r="A38" s="92"/>
      <c r="B38" s="91" t="s">
        <v>44</v>
      </c>
      <c r="C38" s="91"/>
      <c r="D38" s="170">
        <v>2015</v>
      </c>
      <c r="E38" s="175">
        <f>SUM(F38:I38)</f>
        <v>36</v>
      </c>
      <c r="F38" s="175">
        <v>2</v>
      </c>
      <c r="G38" s="175">
        <v>5</v>
      </c>
      <c r="H38" s="175">
        <v>16</v>
      </c>
      <c r="I38" s="175">
        <v>13</v>
      </c>
    </row>
    <row r="39" spans="1:9" s="55" customFormat="1" ht="12.95" customHeight="1">
      <c r="A39" s="92"/>
      <c r="B39" s="91"/>
      <c r="C39" s="91"/>
      <c r="D39" s="170">
        <v>2016</v>
      </c>
      <c r="E39" s="175">
        <f>SUM(F39:I39)</f>
        <v>51</v>
      </c>
      <c r="F39" s="175">
        <v>2</v>
      </c>
      <c r="G39" s="175">
        <v>3</v>
      </c>
      <c r="H39" s="175">
        <v>32</v>
      </c>
      <c r="I39" s="175">
        <v>14</v>
      </c>
    </row>
    <row r="40" spans="1:9" s="55" customFormat="1" ht="12.95" customHeight="1">
      <c r="A40" s="92"/>
      <c r="B40" s="91"/>
      <c r="C40" s="91"/>
      <c r="D40" s="170">
        <v>2017</v>
      </c>
      <c r="E40" s="175">
        <f>F40+G40+H40+I40</f>
        <v>39</v>
      </c>
      <c r="F40" s="175">
        <v>4</v>
      </c>
      <c r="G40" s="175">
        <v>2</v>
      </c>
      <c r="H40" s="175">
        <v>25</v>
      </c>
      <c r="I40" s="175">
        <v>8</v>
      </c>
    </row>
    <row r="41" spans="1:9" s="55" customFormat="1" ht="8.1" customHeight="1">
      <c r="A41" s="92"/>
      <c r="B41" s="91"/>
      <c r="C41" s="91"/>
      <c r="D41" s="170"/>
      <c r="E41" s="175"/>
      <c r="F41" s="175"/>
      <c r="G41" s="175"/>
      <c r="H41" s="175"/>
      <c r="I41" s="175"/>
    </row>
    <row r="42" spans="1:9" s="55" customFormat="1" ht="12.95" customHeight="1">
      <c r="A42" s="92"/>
      <c r="B42" s="91" t="s">
        <v>45</v>
      </c>
      <c r="C42" s="91"/>
      <c r="D42" s="170">
        <v>2015</v>
      </c>
      <c r="E42" s="175">
        <f>SUM(F42:I42)</f>
        <v>25</v>
      </c>
      <c r="F42" s="175">
        <v>2</v>
      </c>
      <c r="G42" s="175">
        <v>5</v>
      </c>
      <c r="H42" s="175">
        <v>8</v>
      </c>
      <c r="I42" s="175">
        <v>10</v>
      </c>
    </row>
    <row r="43" spans="1:9" s="55" customFormat="1" ht="12.95" customHeight="1">
      <c r="A43" s="92"/>
      <c r="B43" s="91"/>
      <c r="C43" s="91"/>
      <c r="D43" s="170">
        <v>2016</v>
      </c>
      <c r="E43" s="175">
        <f>SUM(F43:I43)</f>
        <v>26</v>
      </c>
      <c r="F43" s="175">
        <v>1</v>
      </c>
      <c r="G43" s="175">
        <v>6</v>
      </c>
      <c r="H43" s="175">
        <v>12</v>
      </c>
      <c r="I43" s="175">
        <v>7</v>
      </c>
    </row>
    <row r="44" spans="1:9" s="55" customFormat="1" ht="12.95" customHeight="1">
      <c r="A44" s="92"/>
      <c r="B44" s="91"/>
      <c r="C44" s="91"/>
      <c r="D44" s="170">
        <v>2017</v>
      </c>
      <c r="E44" s="175">
        <f>F44+G44+H44+I44</f>
        <v>21</v>
      </c>
      <c r="F44" s="175">
        <v>1</v>
      </c>
      <c r="G44" s="175">
        <v>6</v>
      </c>
      <c r="H44" s="175">
        <v>8</v>
      </c>
      <c r="I44" s="175">
        <v>6</v>
      </c>
    </row>
    <row r="45" spans="1:9" s="55" customFormat="1" ht="8.1" customHeight="1">
      <c r="A45" s="92"/>
      <c r="B45" s="91"/>
      <c r="C45" s="91"/>
      <c r="D45" s="170"/>
      <c r="E45" s="175"/>
      <c r="F45" s="175"/>
      <c r="G45" s="175"/>
      <c r="H45" s="175"/>
      <c r="I45" s="175"/>
    </row>
    <row r="46" spans="1:9" s="55" customFormat="1" ht="12.95" customHeight="1">
      <c r="A46" s="92"/>
      <c r="B46" s="91" t="s">
        <v>43</v>
      </c>
      <c r="C46" s="91"/>
      <c r="D46" s="170">
        <v>2015</v>
      </c>
      <c r="E46" s="175">
        <f>SUM(F46:I46)</f>
        <v>104</v>
      </c>
      <c r="F46" s="175">
        <v>6</v>
      </c>
      <c r="G46" s="175">
        <v>11</v>
      </c>
      <c r="H46" s="175">
        <v>48</v>
      </c>
      <c r="I46" s="175">
        <v>39</v>
      </c>
    </row>
    <row r="47" spans="1:9" s="55" customFormat="1" ht="12.95" customHeight="1">
      <c r="A47" s="92"/>
      <c r="B47" s="91"/>
      <c r="C47" s="91"/>
      <c r="D47" s="170">
        <v>2016</v>
      </c>
      <c r="E47" s="175">
        <f>SUM(F47:I47)</f>
        <v>105</v>
      </c>
      <c r="F47" s="175">
        <v>5</v>
      </c>
      <c r="G47" s="175">
        <v>14</v>
      </c>
      <c r="H47" s="175">
        <v>44</v>
      </c>
      <c r="I47" s="175">
        <v>42</v>
      </c>
    </row>
    <row r="48" spans="1:9" s="55" customFormat="1" ht="12.95" customHeight="1">
      <c r="A48" s="92"/>
      <c r="B48" s="91"/>
      <c r="C48" s="91"/>
      <c r="D48" s="170">
        <v>2017</v>
      </c>
      <c r="E48" s="175">
        <f>F48+G48+H48+I48</f>
        <v>116</v>
      </c>
      <c r="F48" s="175">
        <v>7</v>
      </c>
      <c r="G48" s="175">
        <v>11</v>
      </c>
      <c r="H48" s="175">
        <v>50</v>
      </c>
      <c r="I48" s="175">
        <v>48</v>
      </c>
    </row>
    <row r="49" spans="1:9" s="55" customFormat="1" ht="8.1" customHeight="1">
      <c r="A49" s="92"/>
      <c r="B49" s="91"/>
      <c r="C49" s="91"/>
      <c r="D49" s="170"/>
      <c r="E49" s="175"/>
      <c r="F49" s="175"/>
      <c r="G49" s="175"/>
      <c r="H49" s="175"/>
      <c r="I49" s="175"/>
    </row>
    <row r="50" spans="1:9" s="55" customFormat="1" ht="12.95" customHeight="1">
      <c r="A50" s="92"/>
      <c r="B50" s="91" t="s">
        <v>72</v>
      </c>
      <c r="C50" s="91"/>
      <c r="D50" s="170">
        <v>2015</v>
      </c>
      <c r="E50" s="175">
        <f>SUM(F50:I50)</f>
        <v>6</v>
      </c>
      <c r="F50" s="175" t="s">
        <v>51</v>
      </c>
      <c r="G50" s="175" t="s">
        <v>51</v>
      </c>
      <c r="H50" s="175">
        <v>6</v>
      </c>
      <c r="I50" s="175" t="s">
        <v>51</v>
      </c>
    </row>
    <row r="51" spans="1:9" s="55" customFormat="1" ht="12.95" customHeight="1">
      <c r="A51" s="92"/>
      <c r="B51" s="91"/>
      <c r="C51" s="91"/>
      <c r="D51" s="170">
        <v>2016</v>
      </c>
      <c r="E51" s="175">
        <f>SUM(F51:I51)</f>
        <v>1</v>
      </c>
      <c r="F51" s="175" t="s">
        <v>51</v>
      </c>
      <c r="G51" s="175" t="s">
        <v>51</v>
      </c>
      <c r="H51" s="175">
        <v>1</v>
      </c>
      <c r="I51" s="175" t="s">
        <v>51</v>
      </c>
    </row>
    <row r="52" spans="1:9" s="55" customFormat="1" ht="12.95" customHeight="1">
      <c r="A52" s="92"/>
      <c r="B52" s="91"/>
      <c r="C52" s="91"/>
      <c r="D52" s="170">
        <v>2017</v>
      </c>
      <c r="E52" s="175">
        <f>SUM(F52:I52)</f>
        <v>2</v>
      </c>
      <c r="F52" s="173" t="s">
        <v>51</v>
      </c>
      <c r="G52" s="175">
        <v>2</v>
      </c>
      <c r="H52" s="173" t="s">
        <v>51</v>
      </c>
      <c r="I52" s="173" t="s">
        <v>51</v>
      </c>
    </row>
    <row r="53" spans="1:9" s="55" customFormat="1" ht="8.1" customHeight="1">
      <c r="A53" s="92"/>
      <c r="B53" s="91"/>
      <c r="C53" s="91"/>
      <c r="D53" s="170"/>
      <c r="E53" s="175"/>
      <c r="F53" s="175"/>
      <c r="G53" s="175"/>
      <c r="H53" s="175"/>
      <c r="I53" s="175"/>
    </row>
    <row r="54" spans="1:9" s="55" customFormat="1" ht="12.95" customHeight="1">
      <c r="A54" s="92"/>
      <c r="B54" s="91" t="s">
        <v>47</v>
      </c>
      <c r="C54" s="91"/>
      <c r="D54" s="170">
        <v>2015</v>
      </c>
      <c r="E54" s="175">
        <f>SUM(F54:I54)</f>
        <v>26</v>
      </c>
      <c r="F54" s="175">
        <v>2</v>
      </c>
      <c r="G54" s="175">
        <v>6</v>
      </c>
      <c r="H54" s="175">
        <v>11</v>
      </c>
      <c r="I54" s="175">
        <v>7</v>
      </c>
    </row>
    <row r="55" spans="1:9" s="55" customFormat="1" ht="12.95" customHeight="1">
      <c r="A55" s="92"/>
      <c r="B55" s="91"/>
      <c r="C55" s="91"/>
      <c r="D55" s="170">
        <v>2016</v>
      </c>
      <c r="E55" s="175">
        <f>SUM(F55:I55)</f>
        <v>20</v>
      </c>
      <c r="F55" s="175">
        <v>1</v>
      </c>
      <c r="G55" s="175">
        <v>3</v>
      </c>
      <c r="H55" s="175">
        <v>7</v>
      </c>
      <c r="I55" s="175">
        <v>9</v>
      </c>
    </row>
    <row r="56" spans="1:9" s="55" customFormat="1" ht="12.95" customHeight="1">
      <c r="A56" s="92"/>
      <c r="B56" s="91"/>
      <c r="C56" s="91"/>
      <c r="D56" s="170">
        <v>2017</v>
      </c>
      <c r="E56" s="175">
        <f>SUM(F56:I56)</f>
        <v>24</v>
      </c>
      <c r="F56" s="173" t="s">
        <v>51</v>
      </c>
      <c r="G56" s="175">
        <v>8</v>
      </c>
      <c r="H56" s="175">
        <v>9</v>
      </c>
      <c r="I56" s="175">
        <v>7</v>
      </c>
    </row>
    <row r="57" spans="1:9" s="55" customFormat="1" ht="8.1" customHeight="1">
      <c r="A57" s="92"/>
      <c r="B57" s="91"/>
      <c r="C57" s="91"/>
      <c r="D57" s="170"/>
      <c r="E57" s="175"/>
      <c r="F57" s="175"/>
      <c r="G57" s="175"/>
      <c r="H57" s="175"/>
      <c r="I57" s="175"/>
    </row>
    <row r="58" spans="1:9" s="55" customFormat="1" ht="12.95" customHeight="1">
      <c r="A58" s="92"/>
      <c r="B58" s="91" t="s">
        <v>73</v>
      </c>
      <c r="C58" s="91"/>
      <c r="D58" s="170">
        <v>2015</v>
      </c>
      <c r="E58" s="175">
        <f>SUM(F58:I58)</f>
        <v>5</v>
      </c>
      <c r="F58" s="175">
        <v>1</v>
      </c>
      <c r="G58" s="175">
        <v>1</v>
      </c>
      <c r="H58" s="175">
        <v>1</v>
      </c>
      <c r="I58" s="175">
        <v>2</v>
      </c>
    </row>
    <row r="59" spans="1:9" s="55" customFormat="1" ht="12.95" customHeight="1">
      <c r="A59" s="92"/>
      <c r="B59" s="91"/>
      <c r="C59" s="91"/>
      <c r="D59" s="170">
        <v>2016</v>
      </c>
      <c r="E59" s="175">
        <f>SUM(F59:I59)</f>
        <v>9</v>
      </c>
      <c r="F59" s="175" t="s">
        <v>51</v>
      </c>
      <c r="G59" s="175">
        <v>3</v>
      </c>
      <c r="H59" s="175">
        <v>4</v>
      </c>
      <c r="I59" s="175">
        <v>2</v>
      </c>
    </row>
    <row r="60" spans="1:9" s="55" customFormat="1" ht="12.95" customHeight="1">
      <c r="A60" s="92"/>
      <c r="B60" s="91"/>
      <c r="C60" s="91"/>
      <c r="D60" s="170">
        <v>2017</v>
      </c>
      <c r="E60" s="175">
        <f>SUM(F60:I60)</f>
        <v>3</v>
      </c>
      <c r="F60" s="173" t="s">
        <v>51</v>
      </c>
      <c r="G60" s="175">
        <v>1</v>
      </c>
      <c r="H60" s="175">
        <v>1</v>
      </c>
      <c r="I60" s="175">
        <v>1</v>
      </c>
    </row>
    <row r="61" spans="1:9" s="55" customFormat="1" ht="8.1" customHeight="1">
      <c r="A61" s="92"/>
      <c r="B61" s="91"/>
      <c r="C61" s="91"/>
      <c r="D61" s="170"/>
      <c r="E61" s="175"/>
      <c r="F61" s="175"/>
      <c r="G61" s="175"/>
      <c r="H61" s="175"/>
      <c r="I61" s="175"/>
    </row>
    <row r="62" spans="1:9" s="55" customFormat="1" ht="12.95" customHeight="1">
      <c r="A62" s="92"/>
      <c r="B62" s="91" t="s">
        <v>74</v>
      </c>
      <c r="C62" s="91"/>
      <c r="D62" s="170">
        <v>2015</v>
      </c>
      <c r="E62" s="175">
        <f>SUM(F62:I62)</f>
        <v>48</v>
      </c>
      <c r="F62" s="175">
        <v>2</v>
      </c>
      <c r="G62" s="175">
        <v>5</v>
      </c>
      <c r="H62" s="175">
        <v>20</v>
      </c>
      <c r="I62" s="175">
        <v>21</v>
      </c>
    </row>
    <row r="63" spans="1:9" s="55" customFormat="1" ht="12.95" customHeight="1">
      <c r="A63" s="92"/>
      <c r="B63" s="91"/>
      <c r="C63" s="91"/>
      <c r="D63" s="170">
        <v>2016</v>
      </c>
      <c r="E63" s="175">
        <f>SUM(F63:I63)</f>
        <v>34</v>
      </c>
      <c r="F63" s="175">
        <v>2</v>
      </c>
      <c r="G63" s="175">
        <v>3</v>
      </c>
      <c r="H63" s="175">
        <v>17</v>
      </c>
      <c r="I63" s="175">
        <v>12</v>
      </c>
    </row>
    <row r="64" spans="1:9" s="55" customFormat="1" ht="12.95" customHeight="1">
      <c r="A64" s="92"/>
      <c r="B64" s="91"/>
      <c r="C64" s="91"/>
      <c r="D64" s="170">
        <v>2017</v>
      </c>
      <c r="E64" s="175">
        <f>F64+G64+H64+I64</f>
        <v>31</v>
      </c>
      <c r="F64" s="175">
        <v>1</v>
      </c>
      <c r="G64" s="175">
        <v>9</v>
      </c>
      <c r="H64" s="175">
        <v>16</v>
      </c>
      <c r="I64" s="175">
        <v>5</v>
      </c>
    </row>
    <row r="65" spans="1:10" s="55" customFormat="1" ht="8.1" customHeight="1">
      <c r="A65" s="92"/>
      <c r="B65" s="91"/>
      <c r="C65" s="91"/>
      <c r="D65" s="170"/>
      <c r="E65" s="175"/>
      <c r="F65" s="175"/>
      <c r="G65" s="175"/>
      <c r="H65" s="175"/>
      <c r="I65" s="175"/>
    </row>
    <row r="66" spans="1:10" s="55" customFormat="1" ht="12.95" customHeight="1">
      <c r="A66" s="92"/>
      <c r="B66" s="91" t="s">
        <v>75</v>
      </c>
      <c r="C66" s="91"/>
      <c r="D66" s="170">
        <v>2015</v>
      </c>
      <c r="E66" s="175">
        <f>SUM(F66:I66)</f>
        <v>171</v>
      </c>
      <c r="F66" s="175">
        <v>4</v>
      </c>
      <c r="G66" s="175">
        <v>15</v>
      </c>
      <c r="H66" s="175">
        <v>87</v>
      </c>
      <c r="I66" s="175">
        <v>65</v>
      </c>
    </row>
    <row r="67" spans="1:10" s="55" customFormat="1" ht="12.95" customHeight="1">
      <c r="A67" s="92"/>
      <c r="B67" s="91"/>
      <c r="C67" s="91"/>
      <c r="D67" s="170">
        <v>2016</v>
      </c>
      <c r="E67" s="175">
        <f>SUM(F67:I67)</f>
        <v>212</v>
      </c>
      <c r="F67" s="175">
        <v>7</v>
      </c>
      <c r="G67" s="175">
        <v>19</v>
      </c>
      <c r="H67" s="175">
        <v>99</v>
      </c>
      <c r="I67" s="175">
        <v>87</v>
      </c>
    </row>
    <row r="68" spans="1:10" s="55" customFormat="1" ht="12.95" customHeight="1">
      <c r="A68" s="92"/>
      <c r="B68" s="91"/>
      <c r="C68" s="91"/>
      <c r="D68" s="170">
        <v>2017</v>
      </c>
      <c r="E68" s="175">
        <f>F68+G68+H68+I68</f>
        <v>170</v>
      </c>
      <c r="F68" s="175">
        <v>2</v>
      </c>
      <c r="G68" s="175">
        <v>10</v>
      </c>
      <c r="H68" s="175">
        <v>95</v>
      </c>
      <c r="I68" s="175">
        <v>63</v>
      </c>
    </row>
    <row r="69" spans="1:10" s="55" customFormat="1" ht="8.1" customHeight="1">
      <c r="A69" s="92"/>
      <c r="B69" s="91"/>
      <c r="C69" s="91"/>
      <c r="D69" s="170"/>
      <c r="E69" s="175"/>
      <c r="F69" s="175"/>
      <c r="G69" s="175"/>
      <c r="H69" s="175"/>
      <c r="I69" s="175"/>
    </row>
    <row r="70" spans="1:10" s="55" customFormat="1" ht="12.95" customHeight="1">
      <c r="A70" s="92"/>
      <c r="B70" s="91" t="s">
        <v>76</v>
      </c>
      <c r="C70" s="91"/>
      <c r="D70" s="170">
        <v>2015</v>
      </c>
      <c r="E70" s="175">
        <f>SUM(F70:I70)</f>
        <v>31</v>
      </c>
      <c r="F70" s="175">
        <v>3</v>
      </c>
      <c r="G70" s="175">
        <v>3</v>
      </c>
      <c r="H70" s="175">
        <v>19</v>
      </c>
      <c r="I70" s="175">
        <v>6</v>
      </c>
    </row>
    <row r="71" spans="1:10" s="55" customFormat="1" ht="12.95" customHeight="1">
      <c r="A71" s="92"/>
      <c r="B71" s="91"/>
      <c r="C71" s="91"/>
      <c r="D71" s="170">
        <v>2016</v>
      </c>
      <c r="E71" s="175">
        <f>SUM(F71:I71)</f>
        <v>44</v>
      </c>
      <c r="F71" s="175" t="s">
        <v>51</v>
      </c>
      <c r="G71" s="175">
        <v>2</v>
      </c>
      <c r="H71" s="175">
        <v>28</v>
      </c>
      <c r="I71" s="175">
        <v>14</v>
      </c>
    </row>
    <row r="72" spans="1:10" s="55" customFormat="1" ht="12.95" customHeight="1">
      <c r="A72" s="92"/>
      <c r="B72" s="91"/>
      <c r="C72" s="91"/>
      <c r="D72" s="170">
        <v>2017</v>
      </c>
      <c r="E72" s="175">
        <f>SUM(F72:I72)</f>
        <v>31</v>
      </c>
      <c r="F72" s="173" t="s">
        <v>51</v>
      </c>
      <c r="G72" s="175">
        <v>3</v>
      </c>
      <c r="H72" s="175">
        <v>21</v>
      </c>
      <c r="I72" s="175">
        <v>7</v>
      </c>
    </row>
    <row r="73" spans="1:10" s="55" customFormat="1" ht="8.1" customHeight="1">
      <c r="A73" s="92"/>
      <c r="B73" s="91"/>
      <c r="C73" s="91"/>
      <c r="D73" s="170"/>
      <c r="E73" s="175"/>
      <c r="F73" s="175"/>
      <c r="G73" s="175"/>
      <c r="H73" s="175"/>
      <c r="I73" s="175"/>
    </row>
    <row r="74" spans="1:10" s="55" customFormat="1" ht="12.95" customHeight="1">
      <c r="A74" s="92"/>
      <c r="B74" s="91" t="s">
        <v>77</v>
      </c>
      <c r="C74" s="91"/>
      <c r="D74" s="170">
        <v>2015</v>
      </c>
      <c r="E74" s="175">
        <f>SUM(F74:I74)</f>
        <v>60</v>
      </c>
      <c r="F74" s="175">
        <v>7</v>
      </c>
      <c r="G74" s="175">
        <v>6</v>
      </c>
      <c r="H74" s="175">
        <v>25</v>
      </c>
      <c r="I74" s="175">
        <v>22</v>
      </c>
    </row>
    <row r="75" spans="1:10" s="55" customFormat="1" ht="12.95" customHeight="1">
      <c r="A75" s="92"/>
      <c r="B75" s="91"/>
      <c r="C75" s="91"/>
      <c r="D75" s="170">
        <v>2016</v>
      </c>
      <c r="E75" s="175">
        <f>SUM(F75:I75)</f>
        <v>61</v>
      </c>
      <c r="F75" s="175">
        <v>1</v>
      </c>
      <c r="G75" s="175">
        <v>8</v>
      </c>
      <c r="H75" s="175">
        <v>33</v>
      </c>
      <c r="I75" s="175">
        <v>19</v>
      </c>
    </row>
    <row r="76" spans="1:10" s="55" customFormat="1" ht="12.95" customHeight="1">
      <c r="A76" s="92"/>
      <c r="B76" s="91"/>
      <c r="C76" s="91"/>
      <c r="D76" s="170">
        <v>2017</v>
      </c>
      <c r="E76" s="175">
        <f>F76+G76+H76+I76</f>
        <v>50</v>
      </c>
      <c r="F76" s="175">
        <v>1</v>
      </c>
      <c r="G76" s="175">
        <v>12</v>
      </c>
      <c r="H76" s="175">
        <v>12</v>
      </c>
      <c r="I76" s="175">
        <v>25</v>
      </c>
    </row>
    <row r="77" spans="1:10" s="55" customFormat="1" ht="2.25" customHeight="1" thickBot="1">
      <c r="A77" s="283"/>
      <c r="B77" s="284"/>
      <c r="C77" s="284"/>
      <c r="D77" s="284"/>
      <c r="E77" s="285"/>
      <c r="F77" s="286"/>
      <c r="G77" s="286"/>
      <c r="H77" s="286"/>
      <c r="I77" s="287"/>
      <c r="J77" s="283"/>
    </row>
    <row r="78" spans="1:10" s="55" customFormat="1" ht="12.75">
      <c r="B78" s="124"/>
      <c r="C78" s="124"/>
      <c r="D78" s="124"/>
      <c r="E78" s="70"/>
      <c r="F78" s="123"/>
      <c r="G78" s="123"/>
      <c r="H78" s="123"/>
      <c r="I78" s="265"/>
      <c r="J78" s="8" t="s">
        <v>104</v>
      </c>
    </row>
    <row r="79" spans="1:10" s="55" customFormat="1" ht="12.75">
      <c r="B79" s="124"/>
      <c r="C79" s="124"/>
      <c r="D79" s="124"/>
      <c r="E79" s="70"/>
      <c r="F79" s="123"/>
      <c r="G79" s="123"/>
      <c r="H79" s="123"/>
      <c r="I79" s="265"/>
      <c r="J79" s="41" t="s">
        <v>1</v>
      </c>
    </row>
    <row r="80" spans="1:10" s="55" customFormat="1" ht="12.95" customHeight="1">
      <c r="A80" s="122"/>
      <c r="B80" s="124"/>
      <c r="C80" s="124"/>
      <c r="D80" s="124"/>
      <c r="E80" s="70"/>
      <c r="F80" s="123"/>
      <c r="G80" s="123"/>
      <c r="H80" s="123"/>
      <c r="I80" s="122"/>
    </row>
  </sheetData>
  <mergeCells count="7">
    <mergeCell ref="I11:I12"/>
    <mergeCell ref="B11:C12"/>
    <mergeCell ref="D11:D12"/>
    <mergeCell ref="E11:E12"/>
    <mergeCell ref="F11:F12"/>
    <mergeCell ref="G11:G12"/>
    <mergeCell ref="H11:H12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5" fitToWidth="0" orientation="portrait" r:id="rId1"/>
  <headerFooter>
    <oddHeader xml:space="preserve">&amp;R&amp;"-,Bold"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56"/>
  <sheetViews>
    <sheetView showGridLines="0" topLeftCell="A13" zoomScaleNormal="100" zoomScaleSheetLayoutView="100" workbookViewId="0">
      <selection activeCell="O30" sqref="O30"/>
    </sheetView>
  </sheetViews>
  <sheetFormatPr defaultRowHeight="15"/>
  <cols>
    <col min="1" max="1" width="1.42578125" style="2" customWidth="1"/>
    <col min="2" max="2" width="10" style="3" customWidth="1"/>
    <col min="3" max="3" width="13.42578125" style="3" customWidth="1"/>
    <col min="4" max="4" width="9" style="3" customWidth="1"/>
    <col min="5" max="5" width="12" style="21" customWidth="1"/>
    <col min="6" max="8" width="12" style="22" customWidth="1"/>
    <col min="9" max="9" width="16.5703125" style="5" customWidth="1"/>
    <col min="10" max="10" width="1.140625" style="2" customWidth="1"/>
    <col min="11" max="16384" width="9.140625" style="2"/>
  </cols>
  <sheetData>
    <row r="1" spans="1:10" ht="9.9499999999999993" customHeight="1">
      <c r="B1" s="3" t="s">
        <v>224</v>
      </c>
    </row>
    <row r="2" spans="1:10" s="30" customFormat="1" ht="12.95" customHeight="1">
      <c r="B2" s="27"/>
      <c r="C2" s="27"/>
      <c r="D2" s="29"/>
      <c r="E2" s="28"/>
      <c r="F2" s="29"/>
      <c r="I2" s="199" t="s">
        <v>188</v>
      </c>
      <c r="J2" s="29"/>
    </row>
    <row r="3" spans="1:10" s="30" customFormat="1" ht="12.95" customHeight="1">
      <c r="B3" s="27"/>
      <c r="C3" s="27"/>
      <c r="D3" s="29"/>
      <c r="E3" s="28"/>
      <c r="F3" s="29"/>
      <c r="I3" s="75" t="s">
        <v>189</v>
      </c>
      <c r="J3" s="29"/>
    </row>
    <row r="4" spans="1:10" s="30" customFormat="1" ht="12" customHeight="1">
      <c r="B4" s="27"/>
      <c r="C4" s="27"/>
      <c r="D4" s="29"/>
      <c r="E4" s="28"/>
      <c r="F4" s="29"/>
      <c r="G4" s="75"/>
      <c r="J4" s="29"/>
    </row>
    <row r="5" spans="1:10" s="30" customFormat="1" ht="12" customHeight="1">
      <c r="B5" s="27"/>
      <c r="C5" s="27"/>
      <c r="D5" s="29"/>
      <c r="E5" s="28"/>
      <c r="F5" s="29"/>
      <c r="G5" s="75"/>
      <c r="J5" s="29"/>
    </row>
    <row r="6" spans="1:10" s="55" customFormat="1" ht="9.75" customHeight="1">
      <c r="B6" s="124"/>
      <c r="C6" s="124"/>
      <c r="D6" s="265"/>
      <c r="E6" s="266"/>
      <c r="F6" s="265"/>
      <c r="G6" s="265"/>
      <c r="H6" s="267"/>
      <c r="I6" s="265"/>
      <c r="J6" s="123"/>
    </row>
    <row r="7" spans="1:10" s="55" customFormat="1" ht="15" customHeight="1">
      <c r="B7" s="88" t="s">
        <v>225</v>
      </c>
      <c r="C7" s="71" t="s">
        <v>230</v>
      </c>
      <c r="D7" s="124"/>
      <c r="E7" s="71"/>
      <c r="F7" s="71"/>
      <c r="G7" s="71"/>
      <c r="H7" s="71"/>
      <c r="I7" s="71"/>
      <c r="J7" s="71"/>
    </row>
    <row r="8" spans="1:10" s="72" customFormat="1" ht="15" customHeight="1">
      <c r="B8" s="89" t="s">
        <v>227</v>
      </c>
      <c r="C8" s="74" t="s">
        <v>231</v>
      </c>
      <c r="E8" s="74"/>
      <c r="F8" s="74"/>
      <c r="G8" s="74"/>
      <c r="H8" s="74"/>
      <c r="I8" s="74"/>
      <c r="J8" s="74"/>
    </row>
    <row r="9" spans="1:10" s="55" customFormat="1" ht="6.75" customHeight="1" thickBot="1">
      <c r="B9" s="124"/>
      <c r="C9" s="124"/>
      <c r="D9" s="124"/>
      <c r="E9" s="70"/>
      <c r="F9" s="123"/>
      <c r="G9" s="123"/>
      <c r="H9" s="123"/>
      <c r="I9" s="265"/>
    </row>
    <row r="10" spans="1:10" s="55" customFormat="1" ht="9.9499999999999993" customHeight="1" thickTop="1">
      <c r="A10" s="268"/>
      <c r="B10" s="269"/>
      <c r="C10" s="269"/>
      <c r="D10" s="270"/>
      <c r="E10" s="271"/>
      <c r="F10" s="272"/>
      <c r="G10" s="272"/>
      <c r="H10" s="272"/>
      <c r="I10" s="273"/>
      <c r="J10" s="268"/>
    </row>
    <row r="11" spans="1:10" s="55" customFormat="1" ht="21" customHeight="1">
      <c r="A11" s="249"/>
      <c r="B11" s="274" t="s">
        <v>229</v>
      </c>
      <c r="C11" s="274"/>
      <c r="D11" s="253" t="s">
        <v>100</v>
      </c>
      <c r="E11" s="253" t="s">
        <v>95</v>
      </c>
      <c r="F11" s="275" t="s">
        <v>207</v>
      </c>
      <c r="G11" s="275" t="s">
        <v>208</v>
      </c>
      <c r="H11" s="275" t="s">
        <v>209</v>
      </c>
      <c r="I11" s="275" t="s">
        <v>210</v>
      </c>
      <c r="J11" s="276"/>
    </row>
    <row r="12" spans="1:10" s="55" customFormat="1" ht="15.75" customHeight="1">
      <c r="A12" s="277"/>
      <c r="B12" s="278"/>
      <c r="C12" s="278"/>
      <c r="D12" s="259"/>
      <c r="E12" s="259"/>
      <c r="F12" s="279"/>
      <c r="G12" s="279"/>
      <c r="H12" s="279"/>
      <c r="I12" s="279"/>
      <c r="J12" s="56"/>
    </row>
    <row r="13" spans="1:10" s="55" customFormat="1" ht="6" customHeight="1">
      <c r="A13" s="125"/>
      <c r="B13" s="243"/>
      <c r="C13" s="243"/>
      <c r="D13" s="99"/>
      <c r="E13" s="99"/>
      <c r="F13" s="280"/>
      <c r="G13" s="280"/>
      <c r="H13" s="280"/>
      <c r="I13" s="280"/>
      <c r="J13" s="95"/>
    </row>
    <row r="14" spans="1:10" s="55" customFormat="1" ht="15" customHeight="1">
      <c r="B14" s="133" t="s">
        <v>49</v>
      </c>
      <c r="C14" s="133"/>
      <c r="D14" s="69">
        <v>2015</v>
      </c>
      <c r="E14" s="174">
        <f>SUM(F14:I14)</f>
        <v>142</v>
      </c>
      <c r="F14" s="174">
        <v>1</v>
      </c>
      <c r="G14" s="174">
        <v>31</v>
      </c>
      <c r="H14" s="174">
        <v>25</v>
      </c>
      <c r="I14" s="233">
        <v>85</v>
      </c>
    </row>
    <row r="15" spans="1:10" s="55" customFormat="1" ht="15" customHeight="1">
      <c r="B15" s="133"/>
      <c r="C15" s="133"/>
      <c r="D15" s="69">
        <v>2016</v>
      </c>
      <c r="E15" s="174">
        <f>SUM(F15:I15)</f>
        <v>109</v>
      </c>
      <c r="F15" s="151" t="s">
        <v>51</v>
      </c>
      <c r="G15" s="174">
        <v>31</v>
      </c>
      <c r="H15" s="174">
        <v>26</v>
      </c>
      <c r="I15" s="233">
        <v>52</v>
      </c>
    </row>
    <row r="16" spans="1:10" s="55" customFormat="1" ht="15" customHeight="1">
      <c r="B16" s="133"/>
      <c r="C16" s="133"/>
      <c r="D16" s="69">
        <v>2017</v>
      </c>
      <c r="E16" s="127">
        <f>F16+G16+H16+I16</f>
        <v>132</v>
      </c>
      <c r="F16" s="127">
        <f>F20+F28</f>
        <v>2</v>
      </c>
      <c r="G16" s="127">
        <f t="shared" ref="G16:I16" si="0">G20+G24+G28</f>
        <v>30</v>
      </c>
      <c r="H16" s="127">
        <f t="shared" si="0"/>
        <v>53</v>
      </c>
      <c r="I16" s="233">
        <f t="shared" si="0"/>
        <v>47</v>
      </c>
    </row>
    <row r="17" spans="1:11" s="55" customFormat="1" ht="15" customHeight="1">
      <c r="B17" s="133"/>
      <c r="C17" s="133"/>
      <c r="D17" s="69"/>
      <c r="E17" s="174"/>
      <c r="F17" s="174"/>
      <c r="G17" s="174"/>
      <c r="H17" s="174"/>
      <c r="I17" s="233"/>
    </row>
    <row r="18" spans="1:11" s="111" customFormat="1" ht="15" customHeight="1">
      <c r="B18" s="91" t="s">
        <v>78</v>
      </c>
      <c r="C18" s="91"/>
      <c r="D18" s="170">
        <v>2015</v>
      </c>
      <c r="E18" s="175">
        <f>SUM(F18:I18)</f>
        <v>36</v>
      </c>
      <c r="F18" s="173" t="s">
        <v>51</v>
      </c>
      <c r="G18" s="175">
        <v>10</v>
      </c>
      <c r="H18" s="175">
        <v>8</v>
      </c>
      <c r="I18" s="237">
        <v>18</v>
      </c>
    </row>
    <row r="19" spans="1:11" s="111" customFormat="1" ht="15" customHeight="1">
      <c r="B19" s="91"/>
      <c r="C19" s="91"/>
      <c r="D19" s="170">
        <v>2016</v>
      </c>
      <c r="E19" s="175">
        <f>SUM(F19:I19)</f>
        <v>34</v>
      </c>
      <c r="F19" s="173" t="s">
        <v>51</v>
      </c>
      <c r="G19" s="175">
        <v>12</v>
      </c>
      <c r="H19" s="175">
        <v>7</v>
      </c>
      <c r="I19" s="237">
        <v>15</v>
      </c>
    </row>
    <row r="20" spans="1:11" s="111" customFormat="1" ht="15" customHeight="1">
      <c r="B20" s="91"/>
      <c r="C20" s="91"/>
      <c r="D20" s="170">
        <v>2017</v>
      </c>
      <c r="E20" s="175">
        <f>F20+G20+H20+I20</f>
        <v>37</v>
      </c>
      <c r="F20" s="173">
        <v>1</v>
      </c>
      <c r="G20" s="175">
        <v>10</v>
      </c>
      <c r="H20" s="175">
        <v>18</v>
      </c>
      <c r="I20" s="237">
        <v>8</v>
      </c>
    </row>
    <row r="21" spans="1:11" s="111" customFormat="1" ht="15" customHeight="1">
      <c r="B21" s="91"/>
      <c r="C21" s="91"/>
      <c r="D21" s="170"/>
      <c r="E21" s="175"/>
      <c r="F21" s="173"/>
      <c r="G21" s="175"/>
      <c r="H21" s="175"/>
      <c r="I21" s="237"/>
    </row>
    <row r="22" spans="1:11" s="111" customFormat="1" ht="15" customHeight="1">
      <c r="B22" s="91" t="s">
        <v>79</v>
      </c>
      <c r="C22" s="91"/>
      <c r="D22" s="170">
        <v>2015</v>
      </c>
      <c r="E22" s="175">
        <f>SUM(F22:I22)</f>
        <v>83</v>
      </c>
      <c r="F22" s="175">
        <v>1</v>
      </c>
      <c r="G22" s="175">
        <v>14</v>
      </c>
      <c r="H22" s="175">
        <v>15</v>
      </c>
      <c r="I22" s="237">
        <v>53</v>
      </c>
      <c r="K22" s="129"/>
    </row>
    <row r="23" spans="1:11" s="125" customFormat="1" ht="15" customHeight="1">
      <c r="B23" s="91"/>
      <c r="C23" s="91"/>
      <c r="D23" s="170">
        <v>2016</v>
      </c>
      <c r="E23" s="175">
        <f>SUM(F23:I23)</f>
        <v>53</v>
      </c>
      <c r="F23" s="173" t="s">
        <v>51</v>
      </c>
      <c r="G23" s="175">
        <v>12</v>
      </c>
      <c r="H23" s="175">
        <v>16</v>
      </c>
      <c r="I23" s="237">
        <v>25</v>
      </c>
    </row>
    <row r="24" spans="1:11" s="55" customFormat="1" ht="15" customHeight="1">
      <c r="B24" s="91"/>
      <c r="C24" s="91"/>
      <c r="D24" s="170">
        <v>2017</v>
      </c>
      <c r="E24" s="175">
        <f>SUM(F24:I24)</f>
        <v>64</v>
      </c>
      <c r="F24" s="173" t="s">
        <v>51</v>
      </c>
      <c r="G24" s="175">
        <v>9</v>
      </c>
      <c r="H24" s="175">
        <v>28</v>
      </c>
      <c r="I24" s="237">
        <v>27</v>
      </c>
    </row>
    <row r="25" spans="1:11" s="55" customFormat="1" ht="15" customHeight="1">
      <c r="B25" s="91"/>
      <c r="C25" s="91"/>
      <c r="D25" s="170"/>
      <c r="E25" s="175"/>
      <c r="F25" s="175"/>
      <c r="G25" s="175"/>
      <c r="H25" s="175"/>
      <c r="I25" s="237"/>
    </row>
    <row r="26" spans="1:11" s="55" customFormat="1" ht="15" customHeight="1">
      <c r="B26" s="91" t="s">
        <v>80</v>
      </c>
      <c r="C26" s="91"/>
      <c r="D26" s="170">
        <v>2015</v>
      </c>
      <c r="E26" s="175">
        <f>SUM(F26:I26)</f>
        <v>23</v>
      </c>
      <c r="F26" s="173" t="s">
        <v>51</v>
      </c>
      <c r="G26" s="175">
        <v>7</v>
      </c>
      <c r="H26" s="175">
        <v>2</v>
      </c>
      <c r="I26" s="237">
        <v>14</v>
      </c>
    </row>
    <row r="27" spans="1:11" s="55" customFormat="1" ht="15" customHeight="1">
      <c r="B27" s="91"/>
      <c r="C27" s="91"/>
      <c r="D27" s="170">
        <v>2016</v>
      </c>
      <c r="E27" s="175">
        <f>SUM(F27:I27)</f>
        <v>22</v>
      </c>
      <c r="F27" s="173" t="s">
        <v>51</v>
      </c>
      <c r="G27" s="175">
        <v>7</v>
      </c>
      <c r="H27" s="175">
        <v>3</v>
      </c>
      <c r="I27" s="237">
        <v>12</v>
      </c>
    </row>
    <row r="28" spans="1:11" s="55" customFormat="1" ht="15" customHeight="1">
      <c r="B28" s="91"/>
      <c r="C28" s="91"/>
      <c r="D28" s="170">
        <v>2017</v>
      </c>
      <c r="E28" s="175">
        <f>F28+G28+H28+I28</f>
        <v>31</v>
      </c>
      <c r="F28" s="173">
        <v>1</v>
      </c>
      <c r="G28" s="175">
        <v>11</v>
      </c>
      <c r="H28" s="175">
        <v>7</v>
      </c>
      <c r="I28" s="237">
        <v>12</v>
      </c>
    </row>
    <row r="29" spans="1:11" s="55" customFormat="1" ht="8.1" customHeight="1" thickBot="1">
      <c r="A29" s="283"/>
      <c r="B29" s="284"/>
      <c r="C29" s="284"/>
      <c r="D29" s="76"/>
      <c r="E29" s="285"/>
      <c r="F29" s="286"/>
      <c r="G29" s="286"/>
      <c r="H29" s="286"/>
      <c r="I29" s="287"/>
      <c r="J29" s="283"/>
    </row>
    <row r="30" spans="1:11" s="55" customFormat="1" ht="8.1" customHeight="1">
      <c r="B30" s="124"/>
      <c r="C30" s="124"/>
      <c r="D30" s="170"/>
      <c r="E30" s="70"/>
      <c r="F30" s="123"/>
      <c r="G30" s="123"/>
      <c r="H30" s="123"/>
      <c r="I30" s="265"/>
    </row>
    <row r="31" spans="1:11" s="55" customFormat="1" ht="15" customHeight="1">
      <c r="B31" s="290" t="s">
        <v>50</v>
      </c>
      <c r="C31" s="290"/>
      <c r="D31" s="291">
        <v>2015</v>
      </c>
      <c r="E31" s="292">
        <f>SUM(F31:I31)</f>
        <v>1211</v>
      </c>
      <c r="F31" s="292">
        <v>31</v>
      </c>
      <c r="G31" s="292">
        <v>77</v>
      </c>
      <c r="H31" s="292">
        <v>779</v>
      </c>
      <c r="I31" s="300">
        <v>324</v>
      </c>
    </row>
    <row r="32" spans="1:11" s="55" customFormat="1" ht="15" customHeight="1">
      <c r="B32" s="290"/>
      <c r="C32" s="290"/>
      <c r="D32" s="291">
        <v>2016</v>
      </c>
      <c r="E32" s="292">
        <f>SUM(F32:I32)</f>
        <v>1038</v>
      </c>
      <c r="F32" s="292">
        <v>28</v>
      </c>
      <c r="G32" s="292">
        <v>65</v>
      </c>
      <c r="H32" s="292">
        <v>633</v>
      </c>
      <c r="I32" s="300">
        <v>312</v>
      </c>
    </row>
    <row r="33" spans="2:9" s="55" customFormat="1" ht="15" customHeight="1">
      <c r="B33" s="290"/>
      <c r="C33" s="290"/>
      <c r="D33" s="291">
        <v>2017</v>
      </c>
      <c r="E33" s="292">
        <f>F33+G33+H33+I33</f>
        <v>1078</v>
      </c>
      <c r="F33" s="292">
        <f>F41+F45+F49+F53</f>
        <v>17</v>
      </c>
      <c r="G33" s="292">
        <f t="shared" ref="G33:I33" si="1">G37+G41+G45+G49+G53</f>
        <v>80</v>
      </c>
      <c r="H33" s="292">
        <f t="shared" si="1"/>
        <v>706</v>
      </c>
      <c r="I33" s="300">
        <f t="shared" si="1"/>
        <v>275</v>
      </c>
    </row>
    <row r="34" spans="2:9" s="55" customFormat="1" ht="15" customHeight="1">
      <c r="B34" s="290"/>
      <c r="C34" s="290"/>
      <c r="D34" s="294"/>
      <c r="E34" s="292"/>
      <c r="F34" s="292"/>
      <c r="G34" s="292"/>
      <c r="H34" s="292"/>
      <c r="I34" s="300"/>
    </row>
    <row r="35" spans="2:9" s="55" customFormat="1" ht="15" customHeight="1">
      <c r="B35" s="301" t="s">
        <v>87</v>
      </c>
      <c r="C35" s="301"/>
      <c r="D35" s="294">
        <v>2015</v>
      </c>
      <c r="E35" s="295">
        <f>SUM(F35:I35)</f>
        <v>73</v>
      </c>
      <c r="F35" s="295">
        <v>1</v>
      </c>
      <c r="G35" s="295">
        <v>7</v>
      </c>
      <c r="H35" s="295">
        <v>38</v>
      </c>
      <c r="I35" s="302">
        <v>27</v>
      </c>
    </row>
    <row r="36" spans="2:9" s="55" customFormat="1" ht="15" customHeight="1">
      <c r="B36" s="301"/>
      <c r="C36" s="301"/>
      <c r="D36" s="294">
        <v>2016</v>
      </c>
      <c r="E36" s="303">
        <f>SUM(F36:I36)</f>
        <v>89</v>
      </c>
      <c r="F36" s="303">
        <v>3</v>
      </c>
      <c r="G36" s="303">
        <v>11</v>
      </c>
      <c r="H36" s="303">
        <v>44</v>
      </c>
      <c r="I36" s="304">
        <v>31</v>
      </c>
    </row>
    <row r="37" spans="2:9" s="55" customFormat="1" ht="15" customHeight="1">
      <c r="B37" s="301"/>
      <c r="C37" s="301"/>
      <c r="D37" s="294">
        <v>2017</v>
      </c>
      <c r="E37" s="295">
        <f>SUM(F37:I37)</f>
        <v>89</v>
      </c>
      <c r="F37" s="296" t="s">
        <v>51</v>
      </c>
      <c r="G37" s="295">
        <v>11</v>
      </c>
      <c r="H37" s="295">
        <v>45</v>
      </c>
      <c r="I37" s="302">
        <v>33</v>
      </c>
    </row>
    <row r="38" spans="2:9" s="55" customFormat="1" ht="15" customHeight="1">
      <c r="B38" s="301"/>
      <c r="C38" s="301"/>
      <c r="D38" s="294"/>
      <c r="E38" s="295"/>
      <c r="F38" s="296"/>
      <c r="G38" s="295"/>
      <c r="H38" s="295"/>
      <c r="I38" s="302"/>
    </row>
    <row r="39" spans="2:9" s="55" customFormat="1" ht="15" customHeight="1">
      <c r="B39" s="301" t="s">
        <v>88</v>
      </c>
      <c r="C39" s="301"/>
      <c r="D39" s="294">
        <v>2015</v>
      </c>
      <c r="E39" s="295">
        <f>SUM(F39:I39)</f>
        <v>142</v>
      </c>
      <c r="F39" s="295">
        <v>5</v>
      </c>
      <c r="G39" s="295">
        <v>12</v>
      </c>
      <c r="H39" s="295">
        <v>100</v>
      </c>
      <c r="I39" s="302">
        <v>25</v>
      </c>
    </row>
    <row r="40" spans="2:9" s="55" customFormat="1" ht="15" customHeight="1">
      <c r="B40" s="301"/>
      <c r="C40" s="301"/>
      <c r="D40" s="294">
        <v>2016</v>
      </c>
      <c r="E40" s="303">
        <f>SUM(F40:I40)</f>
        <v>137</v>
      </c>
      <c r="F40" s="303">
        <v>3</v>
      </c>
      <c r="G40" s="303">
        <v>10</v>
      </c>
      <c r="H40" s="303">
        <v>85</v>
      </c>
      <c r="I40" s="304">
        <v>39</v>
      </c>
    </row>
    <row r="41" spans="2:9" s="55" customFormat="1" ht="15" customHeight="1">
      <c r="B41" s="301"/>
      <c r="C41" s="301"/>
      <c r="D41" s="294">
        <v>2017</v>
      </c>
      <c r="E41" s="295">
        <f>F41+G41+H41+I41</f>
        <v>138</v>
      </c>
      <c r="F41" s="295">
        <v>3</v>
      </c>
      <c r="G41" s="295">
        <v>7</v>
      </c>
      <c r="H41" s="295">
        <v>94</v>
      </c>
      <c r="I41" s="302">
        <v>34</v>
      </c>
    </row>
    <row r="42" spans="2:9" s="55" customFormat="1" ht="15" customHeight="1">
      <c r="B42" s="301"/>
      <c r="C42" s="301"/>
      <c r="D42" s="294"/>
      <c r="E42" s="295"/>
      <c r="F42" s="295"/>
      <c r="G42" s="295"/>
      <c r="H42" s="295"/>
      <c r="I42" s="302"/>
    </row>
    <row r="43" spans="2:9" s="55" customFormat="1" ht="15" customHeight="1">
      <c r="B43" s="301" t="s">
        <v>89</v>
      </c>
      <c r="C43" s="301"/>
      <c r="D43" s="294">
        <v>2015</v>
      </c>
      <c r="E43" s="295">
        <f>SUM(F43:I43)</f>
        <v>469</v>
      </c>
      <c r="F43" s="295">
        <v>10</v>
      </c>
      <c r="G43" s="295">
        <v>23</v>
      </c>
      <c r="H43" s="295">
        <v>336</v>
      </c>
      <c r="I43" s="302">
        <v>100</v>
      </c>
    </row>
    <row r="44" spans="2:9" s="55" customFormat="1" ht="15" customHeight="1">
      <c r="B44" s="301"/>
      <c r="C44" s="301"/>
      <c r="D44" s="294">
        <v>2016</v>
      </c>
      <c r="E44" s="303">
        <f>SUM(F44:I44)</f>
        <v>340</v>
      </c>
      <c r="F44" s="303">
        <v>8</v>
      </c>
      <c r="G44" s="303">
        <v>23</v>
      </c>
      <c r="H44" s="303">
        <v>222</v>
      </c>
      <c r="I44" s="304">
        <v>87</v>
      </c>
    </row>
    <row r="45" spans="2:9" s="55" customFormat="1" ht="15" customHeight="1">
      <c r="B45" s="301"/>
      <c r="C45" s="301"/>
      <c r="D45" s="294">
        <v>2017</v>
      </c>
      <c r="E45" s="295">
        <f>F45+G45+H45+I45</f>
        <v>322</v>
      </c>
      <c r="F45" s="295">
        <v>6</v>
      </c>
      <c r="G45" s="295">
        <v>35</v>
      </c>
      <c r="H45" s="295">
        <v>230</v>
      </c>
      <c r="I45" s="302">
        <v>51</v>
      </c>
    </row>
    <row r="46" spans="2:9" s="55" customFormat="1" ht="15" customHeight="1">
      <c r="B46" s="301"/>
      <c r="C46" s="301"/>
      <c r="D46" s="294"/>
      <c r="E46" s="295"/>
      <c r="F46" s="295"/>
      <c r="G46" s="295"/>
      <c r="H46" s="295"/>
      <c r="I46" s="302"/>
    </row>
    <row r="47" spans="2:9" s="55" customFormat="1" ht="15" customHeight="1">
      <c r="B47" s="301" t="s">
        <v>90</v>
      </c>
      <c r="C47" s="301"/>
      <c r="D47" s="294">
        <v>2015</v>
      </c>
      <c r="E47" s="295">
        <f>SUM(F47:I47)</f>
        <v>187</v>
      </c>
      <c r="F47" s="295">
        <v>3</v>
      </c>
      <c r="G47" s="295">
        <v>19</v>
      </c>
      <c r="H47" s="295">
        <v>97</v>
      </c>
      <c r="I47" s="302">
        <v>68</v>
      </c>
    </row>
    <row r="48" spans="2:9" s="55" customFormat="1" ht="15" customHeight="1">
      <c r="B48" s="301"/>
      <c r="C48" s="301"/>
      <c r="D48" s="294">
        <v>2016</v>
      </c>
      <c r="E48" s="303">
        <f>SUM(F48:I48)</f>
        <v>166</v>
      </c>
      <c r="F48" s="303">
        <v>4</v>
      </c>
      <c r="G48" s="303">
        <v>11</v>
      </c>
      <c r="H48" s="303">
        <v>107</v>
      </c>
      <c r="I48" s="304">
        <v>44</v>
      </c>
    </row>
    <row r="49" spans="1:10" s="55" customFormat="1" ht="15" customHeight="1">
      <c r="B49" s="301"/>
      <c r="C49" s="301"/>
      <c r="D49" s="294">
        <v>2017</v>
      </c>
      <c r="E49" s="295">
        <f>F49+G49+H49+I49</f>
        <v>159</v>
      </c>
      <c r="F49" s="295">
        <v>2</v>
      </c>
      <c r="G49" s="295">
        <v>14</v>
      </c>
      <c r="H49" s="295">
        <v>90</v>
      </c>
      <c r="I49" s="302">
        <v>53</v>
      </c>
    </row>
    <row r="50" spans="1:10" s="55" customFormat="1" ht="15" customHeight="1">
      <c r="B50" s="301"/>
      <c r="C50" s="301"/>
      <c r="D50" s="294"/>
      <c r="E50" s="295"/>
      <c r="F50" s="295"/>
      <c r="G50" s="295"/>
      <c r="H50" s="295"/>
      <c r="I50" s="302"/>
    </row>
    <row r="51" spans="1:10" s="55" customFormat="1" ht="15" customHeight="1">
      <c r="B51" s="301" t="s">
        <v>91</v>
      </c>
      <c r="C51" s="301"/>
      <c r="D51" s="294">
        <v>2015</v>
      </c>
      <c r="E51" s="295">
        <f>SUM(F51:I51)</f>
        <v>340</v>
      </c>
      <c r="F51" s="295">
        <v>12</v>
      </c>
      <c r="G51" s="295">
        <v>16</v>
      </c>
      <c r="H51" s="295">
        <v>208</v>
      </c>
      <c r="I51" s="302">
        <v>104</v>
      </c>
    </row>
    <row r="52" spans="1:10" s="55" customFormat="1" ht="15" customHeight="1">
      <c r="B52" s="301"/>
      <c r="C52" s="301"/>
      <c r="D52" s="294">
        <v>2016</v>
      </c>
      <c r="E52" s="303">
        <f>SUM(F52:I52)</f>
        <v>306</v>
      </c>
      <c r="F52" s="303">
        <v>10</v>
      </c>
      <c r="G52" s="303">
        <v>10</v>
      </c>
      <c r="H52" s="303">
        <v>175</v>
      </c>
      <c r="I52" s="304">
        <v>111</v>
      </c>
    </row>
    <row r="53" spans="1:10" s="55" customFormat="1" ht="15" customHeight="1">
      <c r="B53" s="301"/>
      <c r="C53" s="301"/>
      <c r="D53" s="294">
        <v>2017</v>
      </c>
      <c r="E53" s="295">
        <f>F53+G53+H53+I53</f>
        <v>370</v>
      </c>
      <c r="F53" s="295">
        <v>6</v>
      </c>
      <c r="G53" s="295">
        <v>13</v>
      </c>
      <c r="H53" s="295">
        <v>247</v>
      </c>
      <c r="I53" s="302">
        <v>104</v>
      </c>
    </row>
    <row r="54" spans="1:10" s="55" customFormat="1" ht="8.1" customHeight="1" thickBot="1">
      <c r="A54" s="283"/>
      <c r="B54" s="284"/>
      <c r="C54" s="284"/>
      <c r="D54" s="284"/>
      <c r="E54" s="285"/>
      <c r="F54" s="286"/>
      <c r="G54" s="286"/>
      <c r="H54" s="286"/>
      <c r="I54" s="287"/>
      <c r="J54" s="283"/>
    </row>
    <row r="55" spans="1:10" s="55" customFormat="1" ht="12.75">
      <c r="B55" s="124"/>
      <c r="C55" s="124"/>
      <c r="D55" s="124"/>
      <c r="E55" s="70"/>
      <c r="F55" s="123"/>
      <c r="G55" s="123"/>
      <c r="H55" s="123"/>
      <c r="I55" s="265"/>
      <c r="J55" s="8" t="s">
        <v>104</v>
      </c>
    </row>
    <row r="56" spans="1:10" s="55" customFormat="1" ht="12.75">
      <c r="B56" s="124"/>
      <c r="C56" s="124"/>
      <c r="D56" s="124"/>
      <c r="E56" s="70"/>
      <c r="F56" s="123"/>
      <c r="G56" s="123"/>
      <c r="H56" s="123"/>
      <c r="I56" s="265"/>
      <c r="J56" s="41" t="s">
        <v>1</v>
      </c>
    </row>
  </sheetData>
  <mergeCells count="7">
    <mergeCell ref="I11:I12"/>
    <mergeCell ref="B11:C12"/>
    <mergeCell ref="D11:D12"/>
    <mergeCell ref="E11:E12"/>
    <mergeCell ref="F11:F12"/>
    <mergeCell ref="G11:G12"/>
    <mergeCell ref="H11:H12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5" fitToWidth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56"/>
  <sheetViews>
    <sheetView showGridLines="0" topLeftCell="A2" zoomScale="85" zoomScaleNormal="85" zoomScaleSheetLayoutView="100" workbookViewId="0">
      <selection activeCell="O30" sqref="O30"/>
    </sheetView>
  </sheetViews>
  <sheetFormatPr defaultRowHeight="15"/>
  <cols>
    <col min="1" max="1" width="1.5703125" style="2" customWidth="1"/>
    <col min="2" max="2" width="10.140625" style="3" customWidth="1"/>
    <col min="3" max="3" width="11" style="3" customWidth="1"/>
    <col min="4" max="4" width="9.140625" style="3" customWidth="1"/>
    <col min="5" max="5" width="12.7109375" style="21" customWidth="1"/>
    <col min="6" max="8" width="12.7109375" style="22" customWidth="1"/>
    <col min="9" max="9" width="15.28515625" style="299" customWidth="1"/>
    <col min="10" max="10" width="1.42578125" style="2" customWidth="1"/>
    <col min="11" max="16384" width="9.140625" style="2"/>
  </cols>
  <sheetData>
    <row r="1" spans="1:10" ht="9.9499999999999993" customHeight="1">
      <c r="B1" s="3" t="s">
        <v>224</v>
      </c>
      <c r="I1" s="5"/>
    </row>
    <row r="2" spans="1:10" s="30" customFormat="1" ht="12.95" customHeight="1">
      <c r="B2" s="27"/>
      <c r="C2" s="27"/>
      <c r="D2" s="29"/>
      <c r="E2" s="28"/>
      <c r="F2" s="29"/>
      <c r="I2" s="199" t="s">
        <v>188</v>
      </c>
      <c r="J2" s="29"/>
    </row>
    <row r="3" spans="1:10" s="30" customFormat="1" ht="12.95" customHeight="1">
      <c r="B3" s="27"/>
      <c r="C3" s="27"/>
      <c r="D3" s="29"/>
      <c r="E3" s="28"/>
      <c r="F3" s="29"/>
      <c r="I3" s="75" t="s">
        <v>189</v>
      </c>
      <c r="J3" s="29"/>
    </row>
    <row r="4" spans="1:10" s="30" customFormat="1" ht="12" customHeight="1">
      <c r="B4" s="27"/>
      <c r="C4" s="27"/>
      <c r="D4" s="29"/>
      <c r="E4" s="28"/>
      <c r="F4" s="29"/>
      <c r="G4" s="75"/>
      <c r="J4" s="29"/>
    </row>
    <row r="5" spans="1:10" s="30" customFormat="1" ht="12" customHeight="1">
      <c r="B5" s="27"/>
      <c r="C5" s="27"/>
      <c r="D5" s="29"/>
      <c r="E5" s="28"/>
      <c r="F5" s="29"/>
      <c r="G5" s="75"/>
      <c r="J5" s="29"/>
    </row>
    <row r="6" spans="1:10" s="55" customFormat="1" ht="9.75" customHeight="1">
      <c r="B6" s="124"/>
      <c r="C6" s="124"/>
      <c r="D6" s="265"/>
      <c r="E6" s="266"/>
      <c r="F6" s="265"/>
      <c r="G6" s="265"/>
      <c r="H6" s="267"/>
      <c r="I6" s="265"/>
      <c r="J6" s="123"/>
    </row>
    <row r="7" spans="1:10" s="55" customFormat="1" ht="15" customHeight="1">
      <c r="B7" s="88" t="s">
        <v>225</v>
      </c>
      <c r="C7" s="71" t="s">
        <v>230</v>
      </c>
      <c r="D7" s="124"/>
      <c r="E7" s="71"/>
      <c r="F7" s="71"/>
      <c r="G7" s="71"/>
      <c r="H7" s="71"/>
      <c r="I7" s="71"/>
      <c r="J7" s="71"/>
    </row>
    <row r="8" spans="1:10" s="72" customFormat="1" ht="15" customHeight="1">
      <c r="B8" s="89" t="s">
        <v>227</v>
      </c>
      <c r="C8" s="74" t="s">
        <v>231</v>
      </c>
      <c r="E8" s="74"/>
      <c r="F8" s="74"/>
      <c r="G8" s="74"/>
      <c r="H8" s="74"/>
      <c r="I8" s="74"/>
      <c r="J8" s="74"/>
    </row>
    <row r="9" spans="1:10" s="55" customFormat="1" ht="6.75" customHeight="1" thickBot="1">
      <c r="B9" s="124"/>
      <c r="C9" s="124"/>
      <c r="D9" s="124"/>
      <c r="E9" s="70"/>
      <c r="F9" s="123"/>
      <c r="G9" s="123"/>
      <c r="H9" s="123"/>
      <c r="I9" s="265"/>
    </row>
    <row r="10" spans="1:10" s="55" customFormat="1" ht="9.9499999999999993" customHeight="1" thickTop="1">
      <c r="A10" s="268"/>
      <c r="B10" s="269"/>
      <c r="C10" s="269"/>
      <c r="D10" s="270"/>
      <c r="E10" s="271"/>
      <c r="F10" s="272"/>
      <c r="G10" s="272"/>
      <c r="H10" s="272"/>
      <c r="I10" s="273"/>
      <c r="J10" s="268"/>
    </row>
    <row r="11" spans="1:10" s="55" customFormat="1" ht="21" customHeight="1">
      <c r="A11" s="249"/>
      <c r="B11" s="274" t="s">
        <v>229</v>
      </c>
      <c r="C11" s="274"/>
      <c r="D11" s="253" t="s">
        <v>100</v>
      </c>
      <c r="E11" s="253" t="s">
        <v>95</v>
      </c>
      <c r="F11" s="275" t="s">
        <v>207</v>
      </c>
      <c r="G11" s="275" t="s">
        <v>208</v>
      </c>
      <c r="H11" s="275" t="s">
        <v>209</v>
      </c>
      <c r="I11" s="275" t="s">
        <v>210</v>
      </c>
      <c r="J11" s="276"/>
    </row>
    <row r="12" spans="1:10" s="55" customFormat="1" ht="15.75" customHeight="1">
      <c r="A12" s="277"/>
      <c r="B12" s="278"/>
      <c r="C12" s="278"/>
      <c r="D12" s="259"/>
      <c r="E12" s="259"/>
      <c r="F12" s="279"/>
      <c r="G12" s="279"/>
      <c r="H12" s="279"/>
      <c r="I12" s="279"/>
      <c r="J12" s="56"/>
    </row>
    <row r="13" spans="1:10" s="55" customFormat="1" ht="6" customHeight="1">
      <c r="A13" s="125"/>
      <c r="B13" s="243"/>
      <c r="C13" s="243"/>
      <c r="D13" s="99"/>
      <c r="E13" s="99"/>
      <c r="F13" s="280"/>
      <c r="G13" s="280"/>
      <c r="H13" s="280"/>
      <c r="I13" s="280"/>
      <c r="J13" s="95"/>
    </row>
    <row r="14" spans="1:10" s="111" customFormat="1" ht="15" customHeight="1">
      <c r="B14" s="133" t="s">
        <v>158</v>
      </c>
      <c r="C14" s="133"/>
      <c r="D14" s="69">
        <v>2015</v>
      </c>
      <c r="E14" s="174">
        <f>SUM(F14:I14)</f>
        <v>773</v>
      </c>
      <c r="F14" s="174">
        <v>36</v>
      </c>
      <c r="G14" s="174">
        <v>215</v>
      </c>
      <c r="H14" s="174">
        <v>259</v>
      </c>
      <c r="I14" s="127">
        <v>263</v>
      </c>
    </row>
    <row r="15" spans="1:10" s="111" customFormat="1" ht="15" customHeight="1">
      <c r="B15" s="133"/>
      <c r="C15" s="133"/>
      <c r="D15" s="69">
        <v>2016</v>
      </c>
      <c r="E15" s="174">
        <f>SUM(F15:I15)</f>
        <v>647</v>
      </c>
      <c r="F15" s="174">
        <v>60</v>
      </c>
      <c r="G15" s="174">
        <v>193</v>
      </c>
      <c r="H15" s="174">
        <v>181</v>
      </c>
      <c r="I15" s="127">
        <v>213</v>
      </c>
    </row>
    <row r="16" spans="1:10" s="111" customFormat="1" ht="15" customHeight="1">
      <c r="B16" s="133"/>
      <c r="C16" s="133"/>
      <c r="D16" s="69">
        <v>2017</v>
      </c>
      <c r="E16" s="174">
        <f>F16+G16+H16+I16</f>
        <v>761</v>
      </c>
      <c r="F16" s="174">
        <f>F24+F28+F32+F36+F40+F48+'1.4Sabah (2)'!F18+'1.4Sabah (2)'!F22+'1.4Sabah (2)'!F26+'1.4Sabah (2)'!F30+'1.4Sabah (2)'!F34+'1.4Sabah (2)'!F38+'1.4Sabah (2)'!F42+'1.4Sabah (2)'!F46+'1.4Sabah (2)'!F54+'1.4Sabah (2)'!F58</f>
        <v>36</v>
      </c>
      <c r="G16" s="174">
        <f>G20+G24+G28+G32+G36+G40+G44+G48+G52+'1.4Sabah (2)'!G18+'1.4Sabah (2)'!G22+'1.4Sabah (2)'!G26+'1.4Sabah (2)'!G30+'1.4Sabah (2)'!G34+'1.4Sabah (2)'!G38+'1.4Sabah (2)'!G42+'1.4Sabah (2)'!G46+'1.4Sabah (2)'!G50+'1.4Sabah (2)'!G54+'1.4Sabah (2)'!G58</f>
        <v>211</v>
      </c>
      <c r="H16" s="174">
        <f>H20+H24+H28+H32+H36+H40+H44+H48+H52+'1.4Sabah (2)'!H18+'1.4Sabah (2)'!H22+'1.4Sabah (2)'!H26+'1.4Sabah (2)'!H30+'1.4Sabah (2)'!H34+'1.4Sabah (2)'!H38+'1.4Sabah (2)'!H46+'1.4Sabah (2)'!H54+'1.4Sabah (2)'!H58</f>
        <v>284</v>
      </c>
      <c r="I16" s="174">
        <f>I20+I24+I28+I32+I36+I40+I44+I48+I52+'1.4Sabah (2)'!I18+'1.4Sabah (2)'!I22+'1.4Sabah (2)'!I26+'1.4Sabah (2)'!I30+'1.4Sabah (2)'!I34+'1.4Sabah (2)'!I38+'1.4Sabah (2)'!I42+'1.4Sabah (2)'!I46+'1.4Sabah (2)'!I50+'1.4Sabah (2)'!I54+'1.4Sabah (2)'!I58</f>
        <v>230</v>
      </c>
      <c r="J16" s="174">
        <f>J20+J24+J28+J32+J36+J40+J44+J48+J52+'1.4Sabah (2)'!J18+'1.4Sabah (2)'!J22+'1.4Sabah (2)'!J26+'1.4Sabah (2)'!J30+'1.4Sabah (2)'!J34+'1.4Sabah (2)'!J38+'1.4Sabah (2)'!J42+'1.4Sabah (2)'!J46</f>
        <v>0</v>
      </c>
    </row>
    <row r="17" spans="2:9" s="111" customFormat="1" ht="15" customHeight="1">
      <c r="B17" s="133"/>
      <c r="C17" s="133"/>
      <c r="D17" s="69"/>
      <c r="E17" s="174"/>
      <c r="F17" s="174"/>
      <c r="G17" s="174"/>
      <c r="H17" s="174"/>
      <c r="I17" s="127"/>
    </row>
    <row r="18" spans="2:9" s="111" customFormat="1" ht="15" customHeight="1">
      <c r="B18" s="91" t="s">
        <v>159</v>
      </c>
      <c r="C18" s="91"/>
      <c r="D18" s="170">
        <v>2015</v>
      </c>
      <c r="E18" s="175">
        <f>SUM(F18:I18)</f>
        <v>21</v>
      </c>
      <c r="F18" s="175">
        <v>1</v>
      </c>
      <c r="G18" s="175">
        <v>11</v>
      </c>
      <c r="H18" s="175">
        <v>5</v>
      </c>
      <c r="I18" s="128">
        <v>4</v>
      </c>
    </row>
    <row r="19" spans="2:9" s="111" customFormat="1" ht="15" customHeight="1">
      <c r="B19" s="91"/>
      <c r="C19" s="91"/>
      <c r="D19" s="170">
        <v>2016</v>
      </c>
      <c r="E19" s="175">
        <f>SUM(F19:I19)</f>
        <v>16</v>
      </c>
      <c r="F19" s="175">
        <v>1</v>
      </c>
      <c r="G19" s="175">
        <v>11</v>
      </c>
      <c r="H19" s="175">
        <v>2</v>
      </c>
      <c r="I19" s="128">
        <v>2</v>
      </c>
    </row>
    <row r="20" spans="2:9" s="111" customFormat="1" ht="15" customHeight="1">
      <c r="B20" s="91"/>
      <c r="C20" s="91"/>
      <c r="D20" s="170">
        <v>2017</v>
      </c>
      <c r="E20" s="175">
        <f>SUM(F20:I20)</f>
        <v>22</v>
      </c>
      <c r="F20" s="173" t="s">
        <v>51</v>
      </c>
      <c r="G20" s="175">
        <v>14</v>
      </c>
      <c r="H20" s="175">
        <v>3</v>
      </c>
      <c r="I20" s="128">
        <v>5</v>
      </c>
    </row>
    <row r="21" spans="2:9" s="111" customFormat="1" ht="15" customHeight="1">
      <c r="B21" s="91"/>
      <c r="C21" s="91"/>
      <c r="D21" s="170"/>
      <c r="E21" s="175"/>
      <c r="F21" s="175"/>
      <c r="G21" s="175"/>
      <c r="H21" s="175"/>
      <c r="I21" s="128"/>
    </row>
    <row r="22" spans="2:9" s="55" customFormat="1" ht="15" customHeight="1">
      <c r="B22" s="91" t="s">
        <v>160</v>
      </c>
      <c r="C22" s="91"/>
      <c r="D22" s="170">
        <v>2015</v>
      </c>
      <c r="E22" s="175">
        <f>SUM(F22:I22)</f>
        <v>11</v>
      </c>
      <c r="F22" s="175">
        <v>1</v>
      </c>
      <c r="G22" s="175">
        <v>4</v>
      </c>
      <c r="H22" s="175" t="s">
        <v>51</v>
      </c>
      <c r="I22" s="128">
        <v>6</v>
      </c>
    </row>
    <row r="23" spans="2:9" s="55" customFormat="1" ht="15" customHeight="1">
      <c r="B23" s="91"/>
      <c r="C23" s="91"/>
      <c r="D23" s="170">
        <v>2016</v>
      </c>
      <c r="E23" s="175">
        <f>SUM(F23:I23)</f>
        <v>16</v>
      </c>
      <c r="F23" s="175">
        <v>5</v>
      </c>
      <c r="G23" s="175">
        <v>4</v>
      </c>
      <c r="H23" s="175">
        <v>2</v>
      </c>
      <c r="I23" s="128">
        <v>5</v>
      </c>
    </row>
    <row r="24" spans="2:9" s="55" customFormat="1" ht="15" customHeight="1">
      <c r="B24" s="91"/>
      <c r="C24" s="91"/>
      <c r="D24" s="170">
        <v>2017</v>
      </c>
      <c r="E24" s="175">
        <f>F24+G24+H24+I24</f>
        <v>21</v>
      </c>
      <c r="F24" s="175">
        <v>2</v>
      </c>
      <c r="G24" s="175">
        <v>12</v>
      </c>
      <c r="H24" s="175">
        <v>4</v>
      </c>
      <c r="I24" s="128">
        <v>3</v>
      </c>
    </row>
    <row r="25" spans="2:9" s="55" customFormat="1" ht="15" customHeight="1">
      <c r="B25" s="91"/>
      <c r="C25" s="91"/>
      <c r="D25" s="170"/>
      <c r="E25" s="175"/>
      <c r="F25" s="175"/>
      <c r="G25" s="175"/>
      <c r="H25" s="175"/>
      <c r="I25" s="128"/>
    </row>
    <row r="26" spans="2:9" s="55" customFormat="1" ht="15" customHeight="1">
      <c r="B26" s="91" t="s">
        <v>161</v>
      </c>
      <c r="C26" s="91"/>
      <c r="D26" s="170">
        <v>2015</v>
      </c>
      <c r="E26" s="175">
        <f>SUM(F26:I26)</f>
        <v>39</v>
      </c>
      <c r="F26" s="175">
        <v>4</v>
      </c>
      <c r="G26" s="175">
        <v>20</v>
      </c>
      <c r="H26" s="175">
        <v>8</v>
      </c>
      <c r="I26" s="128">
        <v>7</v>
      </c>
    </row>
    <row r="27" spans="2:9" s="55" customFormat="1" ht="15" customHeight="1">
      <c r="B27" s="91"/>
      <c r="C27" s="91"/>
      <c r="D27" s="170">
        <v>2016</v>
      </c>
      <c r="E27" s="175">
        <f>SUM(F27:I27)</f>
        <v>58</v>
      </c>
      <c r="F27" s="175">
        <v>6</v>
      </c>
      <c r="G27" s="175">
        <v>32</v>
      </c>
      <c r="H27" s="173">
        <v>6</v>
      </c>
      <c r="I27" s="128">
        <v>14</v>
      </c>
    </row>
    <row r="28" spans="2:9" s="55" customFormat="1" ht="15" customHeight="1">
      <c r="B28" s="91"/>
      <c r="C28" s="91"/>
      <c r="D28" s="170">
        <v>2017</v>
      </c>
      <c r="E28" s="175">
        <f>F28+G28+H28+I28</f>
        <v>39</v>
      </c>
      <c r="F28" s="175">
        <v>2</v>
      </c>
      <c r="G28" s="175">
        <v>11</v>
      </c>
      <c r="H28" s="175">
        <v>10</v>
      </c>
      <c r="I28" s="128">
        <v>16</v>
      </c>
    </row>
    <row r="29" spans="2:9" s="55" customFormat="1" ht="15" customHeight="1">
      <c r="B29" s="91"/>
      <c r="C29" s="91"/>
      <c r="D29" s="170"/>
      <c r="E29" s="173"/>
      <c r="F29" s="173"/>
      <c r="G29" s="173"/>
      <c r="H29" s="175"/>
      <c r="I29" s="305"/>
    </row>
    <row r="30" spans="2:9" s="55" customFormat="1" ht="15" customHeight="1">
      <c r="B30" s="91" t="s">
        <v>162</v>
      </c>
      <c r="C30" s="91"/>
      <c r="D30" s="170">
        <v>2015</v>
      </c>
      <c r="E30" s="175">
        <f>SUM(F30:I30)</f>
        <v>18</v>
      </c>
      <c r="F30" s="173" t="s">
        <v>51</v>
      </c>
      <c r="G30" s="175">
        <v>9</v>
      </c>
      <c r="H30" s="175" t="s">
        <v>51</v>
      </c>
      <c r="I30" s="128">
        <v>9</v>
      </c>
    </row>
    <row r="31" spans="2:9" s="55" customFormat="1" ht="15" customHeight="1">
      <c r="B31" s="91"/>
      <c r="C31" s="91"/>
      <c r="D31" s="170">
        <v>2016</v>
      </c>
      <c r="E31" s="175">
        <f>SUM(F31:I31)</f>
        <v>22</v>
      </c>
      <c r="F31" s="173" t="s">
        <v>51</v>
      </c>
      <c r="G31" s="175">
        <v>9</v>
      </c>
      <c r="H31" s="175">
        <v>4</v>
      </c>
      <c r="I31" s="128">
        <v>9</v>
      </c>
    </row>
    <row r="32" spans="2:9" s="55" customFormat="1" ht="15" customHeight="1">
      <c r="B32" s="91"/>
      <c r="C32" s="91"/>
      <c r="D32" s="170">
        <v>2017</v>
      </c>
      <c r="E32" s="175">
        <f>F32+G32+H32+I32</f>
        <v>33</v>
      </c>
      <c r="F32" s="173">
        <v>2</v>
      </c>
      <c r="G32" s="175">
        <v>11</v>
      </c>
      <c r="H32" s="175">
        <v>6</v>
      </c>
      <c r="I32" s="128">
        <v>14</v>
      </c>
    </row>
    <row r="33" spans="2:9" s="55" customFormat="1" ht="15" customHeight="1">
      <c r="B33" s="91"/>
      <c r="C33" s="91"/>
      <c r="D33" s="170"/>
      <c r="E33" s="175"/>
      <c r="F33" s="173"/>
      <c r="G33" s="175"/>
      <c r="H33" s="175"/>
      <c r="I33" s="128"/>
    </row>
    <row r="34" spans="2:9" s="55" customFormat="1" ht="15" customHeight="1">
      <c r="B34" s="91" t="s">
        <v>163</v>
      </c>
      <c r="C34" s="91"/>
      <c r="D34" s="170">
        <v>2015</v>
      </c>
      <c r="E34" s="175">
        <f>SUM(F34:I34)</f>
        <v>192</v>
      </c>
      <c r="F34" s="175">
        <v>7</v>
      </c>
      <c r="G34" s="175">
        <v>53</v>
      </c>
      <c r="H34" s="175">
        <v>87</v>
      </c>
      <c r="I34" s="128">
        <v>45</v>
      </c>
    </row>
    <row r="35" spans="2:9" s="55" customFormat="1" ht="15" customHeight="1">
      <c r="B35" s="91"/>
      <c r="C35" s="91"/>
      <c r="D35" s="170">
        <v>2016</v>
      </c>
      <c r="E35" s="175">
        <f>SUM(F35:I35)</f>
        <v>109</v>
      </c>
      <c r="F35" s="175">
        <v>6</v>
      </c>
      <c r="G35" s="175">
        <v>29</v>
      </c>
      <c r="H35" s="175">
        <v>44</v>
      </c>
      <c r="I35" s="128">
        <v>30</v>
      </c>
    </row>
    <row r="36" spans="2:9" s="55" customFormat="1" ht="15" customHeight="1">
      <c r="B36" s="91"/>
      <c r="C36" s="91"/>
      <c r="D36" s="170">
        <v>2017</v>
      </c>
      <c r="E36" s="175">
        <f>F36+G36+H36+I36</f>
        <v>151</v>
      </c>
      <c r="F36" s="175">
        <v>3</v>
      </c>
      <c r="G36" s="175">
        <v>32</v>
      </c>
      <c r="H36" s="175">
        <v>82</v>
      </c>
      <c r="I36" s="128">
        <v>34</v>
      </c>
    </row>
    <row r="37" spans="2:9" s="55" customFormat="1" ht="15" customHeight="1">
      <c r="B37" s="91"/>
      <c r="C37" s="91"/>
      <c r="D37" s="170"/>
      <c r="E37" s="175"/>
      <c r="F37" s="175"/>
      <c r="G37" s="175"/>
      <c r="H37" s="175"/>
      <c r="I37" s="128"/>
    </row>
    <row r="38" spans="2:9" s="55" customFormat="1" ht="15" customHeight="1">
      <c r="B38" s="91" t="s">
        <v>164</v>
      </c>
      <c r="C38" s="91"/>
      <c r="D38" s="170">
        <v>2015</v>
      </c>
      <c r="E38" s="175">
        <f>SUM(F38:I38)</f>
        <v>28</v>
      </c>
      <c r="F38" s="175">
        <v>4</v>
      </c>
      <c r="G38" s="175">
        <v>6</v>
      </c>
      <c r="H38" s="175">
        <v>4</v>
      </c>
      <c r="I38" s="128">
        <v>14</v>
      </c>
    </row>
    <row r="39" spans="2:9" s="55" customFormat="1" ht="15" customHeight="1">
      <c r="B39" s="91"/>
      <c r="C39" s="91"/>
      <c r="D39" s="170">
        <v>2016</v>
      </c>
      <c r="E39" s="175">
        <f>SUM(F39:I39)</f>
        <v>18</v>
      </c>
      <c r="F39" s="175">
        <v>8</v>
      </c>
      <c r="G39" s="175">
        <v>4</v>
      </c>
      <c r="H39" s="175">
        <v>2</v>
      </c>
      <c r="I39" s="128">
        <v>4</v>
      </c>
    </row>
    <row r="40" spans="2:9" s="55" customFormat="1" ht="15" customHeight="1">
      <c r="B40" s="91"/>
      <c r="C40" s="91"/>
      <c r="D40" s="170">
        <v>2017</v>
      </c>
      <c r="E40" s="175">
        <f>F40+G40+H40+I40</f>
        <v>14</v>
      </c>
      <c r="F40" s="175">
        <v>2</v>
      </c>
      <c r="G40" s="175">
        <v>9</v>
      </c>
      <c r="H40" s="175">
        <v>1</v>
      </c>
      <c r="I40" s="128">
        <v>2</v>
      </c>
    </row>
    <row r="41" spans="2:9" s="55" customFormat="1" ht="15" customHeight="1">
      <c r="B41" s="91"/>
      <c r="C41" s="91"/>
      <c r="D41" s="170"/>
      <c r="E41" s="175"/>
      <c r="F41" s="175"/>
      <c r="G41" s="175"/>
      <c r="H41" s="175"/>
      <c r="I41" s="128"/>
    </row>
    <row r="42" spans="2:9" s="55" customFormat="1" ht="15" customHeight="1">
      <c r="B42" s="91" t="s">
        <v>165</v>
      </c>
      <c r="C42" s="91"/>
      <c r="D42" s="170">
        <v>2015</v>
      </c>
      <c r="E42" s="175">
        <f>SUM(F42:I42)</f>
        <v>23</v>
      </c>
      <c r="F42" s="173" t="s">
        <v>51</v>
      </c>
      <c r="G42" s="175">
        <v>13</v>
      </c>
      <c r="H42" s="175">
        <v>4</v>
      </c>
      <c r="I42" s="128">
        <v>6</v>
      </c>
    </row>
    <row r="43" spans="2:9" s="55" customFormat="1" ht="15" customHeight="1">
      <c r="B43" s="91"/>
      <c r="C43" s="91"/>
      <c r="D43" s="170">
        <v>2016</v>
      </c>
      <c r="E43" s="175">
        <f>SUM(F43:I43)</f>
        <v>18</v>
      </c>
      <c r="F43" s="175">
        <v>3</v>
      </c>
      <c r="G43" s="175">
        <v>7</v>
      </c>
      <c r="H43" s="173">
        <v>1</v>
      </c>
      <c r="I43" s="128">
        <v>7</v>
      </c>
    </row>
    <row r="44" spans="2:9" s="55" customFormat="1" ht="15" customHeight="1">
      <c r="B44" s="91"/>
      <c r="C44" s="91"/>
      <c r="D44" s="170">
        <v>2017</v>
      </c>
      <c r="E44" s="175">
        <f>SUM(F44:I44)</f>
        <v>16</v>
      </c>
      <c r="F44" s="173" t="s">
        <v>51</v>
      </c>
      <c r="G44" s="175">
        <v>6</v>
      </c>
      <c r="H44" s="175">
        <v>2</v>
      </c>
      <c r="I44" s="128">
        <v>8</v>
      </c>
    </row>
    <row r="45" spans="2:9" s="55" customFormat="1" ht="15" customHeight="1">
      <c r="B45" s="91"/>
      <c r="C45" s="91"/>
      <c r="D45" s="170"/>
      <c r="E45" s="175"/>
      <c r="F45" s="175"/>
      <c r="G45" s="175"/>
      <c r="H45" s="175"/>
      <c r="I45" s="128"/>
    </row>
    <row r="46" spans="2:9" s="55" customFormat="1" ht="15" customHeight="1">
      <c r="B46" s="91" t="s">
        <v>166</v>
      </c>
      <c r="C46" s="91"/>
      <c r="D46" s="170">
        <v>2015</v>
      </c>
      <c r="E46" s="175">
        <f>SUM(F46:I46)</f>
        <v>5</v>
      </c>
      <c r="F46" s="173" t="s">
        <v>51</v>
      </c>
      <c r="G46" s="175">
        <v>3</v>
      </c>
      <c r="H46" s="175" t="s">
        <v>51</v>
      </c>
      <c r="I46" s="128">
        <v>2</v>
      </c>
    </row>
    <row r="47" spans="2:9" s="55" customFormat="1" ht="15" customHeight="1">
      <c r="B47" s="91"/>
      <c r="C47" s="91"/>
      <c r="D47" s="170">
        <v>2016</v>
      </c>
      <c r="E47" s="175">
        <f>SUM(F47:I47)</f>
        <v>8</v>
      </c>
      <c r="F47" s="175">
        <v>2</v>
      </c>
      <c r="G47" s="175">
        <v>1</v>
      </c>
      <c r="H47" s="173">
        <v>3</v>
      </c>
      <c r="I47" s="128">
        <v>2</v>
      </c>
    </row>
    <row r="48" spans="2:9" s="55" customFormat="1" ht="15" customHeight="1">
      <c r="B48" s="91"/>
      <c r="C48" s="91"/>
      <c r="D48" s="170">
        <v>2017</v>
      </c>
      <c r="E48" s="175">
        <f>F48+G48+H48+I48</f>
        <v>14</v>
      </c>
      <c r="F48" s="173">
        <v>1</v>
      </c>
      <c r="G48" s="175">
        <v>6</v>
      </c>
      <c r="H48" s="175">
        <v>1</v>
      </c>
      <c r="I48" s="128">
        <v>6</v>
      </c>
    </row>
    <row r="49" spans="1:10" s="55" customFormat="1" ht="15" customHeight="1">
      <c r="B49" s="91"/>
      <c r="C49" s="91"/>
      <c r="D49" s="170"/>
      <c r="E49" s="175"/>
      <c r="F49" s="173"/>
      <c r="G49" s="175"/>
      <c r="H49" s="175"/>
      <c r="I49" s="128"/>
    </row>
    <row r="50" spans="1:10" s="55" customFormat="1" ht="15" customHeight="1">
      <c r="B50" s="91" t="s">
        <v>167</v>
      </c>
      <c r="C50" s="91"/>
      <c r="D50" s="170">
        <v>2015</v>
      </c>
      <c r="E50" s="175">
        <f>SUM(F50:I50)</f>
        <v>13</v>
      </c>
      <c r="F50" s="173" t="s">
        <v>51</v>
      </c>
      <c r="G50" s="175">
        <v>3</v>
      </c>
      <c r="H50" s="175">
        <v>5</v>
      </c>
      <c r="I50" s="128">
        <v>5</v>
      </c>
    </row>
    <row r="51" spans="1:10" s="55" customFormat="1" ht="15" customHeight="1">
      <c r="B51" s="91"/>
      <c r="C51" s="91"/>
      <c r="D51" s="170">
        <v>2016</v>
      </c>
      <c r="E51" s="175">
        <f>SUM(F51:I51)</f>
        <v>12</v>
      </c>
      <c r="F51" s="173" t="s">
        <v>51</v>
      </c>
      <c r="G51" s="175">
        <v>4</v>
      </c>
      <c r="H51" s="175">
        <v>3</v>
      </c>
      <c r="I51" s="128">
        <v>5</v>
      </c>
    </row>
    <row r="52" spans="1:10" s="55" customFormat="1" ht="15" customHeight="1">
      <c r="B52" s="91"/>
      <c r="C52" s="91"/>
      <c r="D52" s="170">
        <v>2017</v>
      </c>
      <c r="E52" s="175">
        <f>SUM(F52:I52)</f>
        <v>8</v>
      </c>
      <c r="F52" s="173" t="s">
        <v>51</v>
      </c>
      <c r="G52" s="175">
        <v>2</v>
      </c>
      <c r="H52" s="175">
        <v>3</v>
      </c>
      <c r="I52" s="128">
        <v>3</v>
      </c>
    </row>
    <row r="53" spans="1:10" s="55" customFormat="1" ht="8.1" customHeight="1" thickBot="1">
      <c r="A53" s="283"/>
      <c r="B53" s="284"/>
      <c r="C53" s="284"/>
      <c r="D53" s="284"/>
      <c r="E53" s="285"/>
      <c r="F53" s="286"/>
      <c r="G53" s="286"/>
      <c r="H53" s="286"/>
      <c r="I53" s="287"/>
      <c r="J53" s="283"/>
    </row>
    <row r="54" spans="1:10" s="55" customFormat="1" ht="12.75">
      <c r="B54" s="124"/>
      <c r="C54" s="124"/>
      <c r="D54" s="124"/>
      <c r="E54" s="70"/>
      <c r="F54" s="123"/>
      <c r="G54" s="123"/>
      <c r="H54" s="123"/>
      <c r="I54" s="265"/>
      <c r="J54" s="8" t="s">
        <v>104</v>
      </c>
    </row>
    <row r="55" spans="1:10" s="55" customFormat="1" ht="12.75">
      <c r="B55" s="124"/>
      <c r="C55" s="124"/>
      <c r="D55" s="124"/>
      <c r="E55" s="70"/>
      <c r="F55" s="123"/>
      <c r="G55" s="123"/>
      <c r="H55" s="123"/>
      <c r="I55" s="265"/>
      <c r="J55" s="41" t="s">
        <v>1</v>
      </c>
    </row>
    <row r="56" spans="1:10" ht="14.25">
      <c r="B56" s="40"/>
      <c r="C56" s="40"/>
      <c r="D56" s="103"/>
      <c r="E56" s="10"/>
      <c r="F56" s="10"/>
      <c r="G56" s="10"/>
      <c r="H56" s="10"/>
      <c r="I56" s="306"/>
    </row>
  </sheetData>
  <mergeCells count="7">
    <mergeCell ref="I11:I12"/>
    <mergeCell ref="B11:C12"/>
    <mergeCell ref="D11:D12"/>
    <mergeCell ref="E11:E12"/>
    <mergeCell ref="F11:F12"/>
    <mergeCell ref="G11:G12"/>
    <mergeCell ref="H11:H12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5" fitToWidth="0" orientation="portrait" r:id="rId1"/>
  <headerFooter>
    <oddHeader xml:space="preserve">&amp;R&amp;"-,Bold"
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61"/>
  <sheetViews>
    <sheetView showGridLines="0" topLeftCell="A6" zoomScale="85" zoomScaleNormal="85" zoomScaleSheetLayoutView="100" workbookViewId="0">
      <selection activeCell="O30" sqref="O30"/>
    </sheetView>
  </sheetViews>
  <sheetFormatPr defaultRowHeight="15"/>
  <cols>
    <col min="1" max="1" width="1.5703125" style="2" customWidth="1"/>
    <col min="2" max="2" width="10.140625" style="3" customWidth="1"/>
    <col min="3" max="3" width="11" style="3" customWidth="1"/>
    <col min="4" max="4" width="9.140625" style="3" customWidth="1"/>
    <col min="5" max="5" width="12.7109375" style="21" customWidth="1"/>
    <col min="6" max="8" width="12.7109375" style="22" customWidth="1"/>
    <col min="9" max="9" width="15.28515625" style="299" customWidth="1"/>
    <col min="10" max="10" width="1.42578125" style="2" customWidth="1"/>
    <col min="11" max="16384" width="9.140625" style="2"/>
  </cols>
  <sheetData>
    <row r="1" spans="1:10" ht="9.9499999999999993" customHeight="1">
      <c r="B1" s="3" t="s">
        <v>224</v>
      </c>
      <c r="I1" s="5"/>
    </row>
    <row r="2" spans="1:10" s="30" customFormat="1" ht="12.95" customHeight="1">
      <c r="B2" s="27"/>
      <c r="C2" s="27"/>
      <c r="D2" s="29"/>
      <c r="E2" s="28"/>
      <c r="F2" s="29"/>
      <c r="I2" s="199" t="s">
        <v>188</v>
      </c>
      <c r="J2" s="29"/>
    </row>
    <row r="3" spans="1:10" s="30" customFormat="1" ht="12.95" customHeight="1">
      <c r="B3" s="27"/>
      <c r="C3" s="27"/>
      <c r="D3" s="29"/>
      <c r="E3" s="28"/>
      <c r="F3" s="29"/>
      <c r="I3" s="75" t="s">
        <v>189</v>
      </c>
      <c r="J3" s="29"/>
    </row>
    <row r="4" spans="1:10" s="30" customFormat="1" ht="12" customHeight="1">
      <c r="B4" s="27"/>
      <c r="C4" s="27"/>
      <c r="D4" s="29"/>
      <c r="E4" s="28"/>
      <c r="F4" s="29"/>
      <c r="G4" s="75"/>
      <c r="J4" s="29"/>
    </row>
    <row r="5" spans="1:10" s="30" customFormat="1" ht="12" customHeight="1">
      <c r="B5" s="27"/>
      <c r="C5" s="27"/>
      <c r="D5" s="29"/>
      <c r="E5" s="28"/>
      <c r="F5" s="29"/>
      <c r="G5" s="75"/>
      <c r="J5" s="29"/>
    </row>
    <row r="6" spans="1:10" s="55" customFormat="1" ht="9.75" customHeight="1">
      <c r="B6" s="124"/>
      <c r="C6" s="124"/>
      <c r="D6" s="265"/>
      <c r="E6" s="266"/>
      <c r="F6" s="265"/>
      <c r="G6" s="265"/>
      <c r="H6" s="267"/>
      <c r="I6" s="265"/>
      <c r="J6" s="123"/>
    </row>
    <row r="7" spans="1:10" s="55" customFormat="1" ht="15" customHeight="1">
      <c r="B7" s="88" t="s">
        <v>225</v>
      </c>
      <c r="C7" s="71" t="s">
        <v>230</v>
      </c>
      <c r="D7" s="124"/>
      <c r="E7" s="71"/>
      <c r="F7" s="71"/>
      <c r="G7" s="71"/>
      <c r="H7" s="71"/>
      <c r="I7" s="71"/>
      <c r="J7" s="71"/>
    </row>
    <row r="8" spans="1:10" s="72" customFormat="1" ht="15" customHeight="1">
      <c r="B8" s="89" t="s">
        <v>227</v>
      </c>
      <c r="C8" s="74" t="s">
        <v>231</v>
      </c>
      <c r="E8" s="74"/>
      <c r="F8" s="74"/>
      <c r="G8" s="74"/>
      <c r="H8" s="74"/>
      <c r="I8" s="74"/>
      <c r="J8" s="74"/>
    </row>
    <row r="9" spans="1:10" s="55" customFormat="1" ht="6.75" customHeight="1" thickBot="1">
      <c r="B9" s="124"/>
      <c r="C9" s="124"/>
      <c r="D9" s="124"/>
      <c r="E9" s="70"/>
      <c r="F9" s="123"/>
      <c r="G9" s="123"/>
      <c r="H9" s="123"/>
      <c r="I9" s="265"/>
    </row>
    <row r="10" spans="1:10" s="55" customFormat="1" ht="9.9499999999999993" customHeight="1" thickTop="1">
      <c r="A10" s="268"/>
      <c r="B10" s="269"/>
      <c r="C10" s="269"/>
      <c r="D10" s="270"/>
      <c r="E10" s="271"/>
      <c r="F10" s="272"/>
      <c r="G10" s="272"/>
      <c r="H10" s="272"/>
      <c r="I10" s="273"/>
      <c r="J10" s="268"/>
    </row>
    <row r="11" spans="1:10" s="55" customFormat="1" ht="21" customHeight="1">
      <c r="A11" s="249"/>
      <c r="B11" s="274" t="s">
        <v>229</v>
      </c>
      <c r="C11" s="274"/>
      <c r="D11" s="253" t="s">
        <v>100</v>
      </c>
      <c r="E11" s="253" t="s">
        <v>95</v>
      </c>
      <c r="F11" s="275" t="s">
        <v>207</v>
      </c>
      <c r="G11" s="275" t="s">
        <v>208</v>
      </c>
      <c r="H11" s="275" t="s">
        <v>209</v>
      </c>
      <c r="I11" s="275" t="s">
        <v>210</v>
      </c>
      <c r="J11" s="276"/>
    </row>
    <row r="12" spans="1:10" s="55" customFormat="1" ht="15.75" customHeight="1">
      <c r="A12" s="277"/>
      <c r="B12" s="278"/>
      <c r="C12" s="278"/>
      <c r="D12" s="259"/>
      <c r="E12" s="259"/>
      <c r="F12" s="279"/>
      <c r="G12" s="279"/>
      <c r="H12" s="279"/>
      <c r="I12" s="279"/>
      <c r="J12" s="56"/>
    </row>
    <row r="13" spans="1:10" s="55" customFormat="1" ht="6" customHeight="1">
      <c r="A13" s="125"/>
      <c r="B13" s="243"/>
      <c r="C13" s="243"/>
      <c r="D13" s="99"/>
      <c r="E13" s="99"/>
      <c r="F13" s="280"/>
      <c r="G13" s="280"/>
      <c r="H13" s="280"/>
      <c r="I13" s="280"/>
      <c r="J13" s="95"/>
    </row>
    <row r="14" spans="1:10" s="111" customFormat="1" ht="17.100000000000001" customHeight="1">
      <c r="B14" s="133" t="s">
        <v>232</v>
      </c>
      <c r="C14" s="133"/>
      <c r="D14" s="69"/>
      <c r="E14" s="174"/>
      <c r="F14" s="174"/>
      <c r="G14" s="174"/>
      <c r="H14" s="174"/>
      <c r="I14" s="127"/>
    </row>
    <row r="15" spans="1:10" s="111" customFormat="1" ht="17.100000000000001" customHeight="1">
      <c r="B15" s="133"/>
      <c r="C15" s="133"/>
      <c r="D15" s="69"/>
      <c r="E15" s="174"/>
      <c r="F15" s="174"/>
      <c r="G15" s="174"/>
      <c r="H15" s="174"/>
      <c r="I15" s="127"/>
    </row>
    <row r="16" spans="1:10" s="55" customFormat="1" ht="12.75">
      <c r="B16" s="91" t="s">
        <v>168</v>
      </c>
      <c r="C16" s="91"/>
      <c r="D16" s="170">
        <v>2015</v>
      </c>
      <c r="E16" s="175">
        <f>SUM(F16:I16)</f>
        <v>58</v>
      </c>
      <c r="F16" s="175">
        <v>7</v>
      </c>
      <c r="G16" s="175">
        <v>11</v>
      </c>
      <c r="H16" s="175">
        <v>23</v>
      </c>
      <c r="I16" s="128">
        <v>17</v>
      </c>
    </row>
    <row r="17" spans="2:9" s="55" customFormat="1" ht="12.75">
      <c r="B17" s="91"/>
      <c r="C17" s="91"/>
      <c r="D17" s="170">
        <v>2016</v>
      </c>
      <c r="E17" s="175">
        <f>SUM(F17:I17)</f>
        <v>49</v>
      </c>
      <c r="F17" s="175">
        <v>9</v>
      </c>
      <c r="G17" s="175">
        <v>6</v>
      </c>
      <c r="H17" s="175">
        <v>23</v>
      </c>
      <c r="I17" s="128">
        <v>11</v>
      </c>
    </row>
    <row r="18" spans="2:9" s="55" customFormat="1" ht="12.75">
      <c r="B18" s="91"/>
      <c r="C18" s="91"/>
      <c r="D18" s="170">
        <v>2017</v>
      </c>
      <c r="E18" s="175">
        <f>F18+G18+H18+I18</f>
        <v>48</v>
      </c>
      <c r="F18" s="175">
        <v>2</v>
      </c>
      <c r="G18" s="175">
        <v>9</v>
      </c>
      <c r="H18" s="175">
        <v>16</v>
      </c>
      <c r="I18" s="128">
        <v>21</v>
      </c>
    </row>
    <row r="19" spans="2:9" s="55" customFormat="1" ht="12.75">
      <c r="B19" s="91"/>
      <c r="C19" s="91"/>
      <c r="D19" s="170"/>
      <c r="E19" s="175"/>
      <c r="F19" s="175"/>
      <c r="G19" s="175"/>
      <c r="H19" s="175"/>
      <c r="I19" s="128"/>
    </row>
    <row r="20" spans="2:9" s="55" customFormat="1" ht="12.75">
      <c r="B20" s="307" t="s">
        <v>169</v>
      </c>
      <c r="C20" s="307"/>
      <c r="D20" s="170">
        <v>2015</v>
      </c>
      <c r="E20" s="175">
        <f>SUM(F20:I20)</f>
        <v>26</v>
      </c>
      <c r="F20" s="175">
        <v>1</v>
      </c>
      <c r="G20" s="175">
        <v>4</v>
      </c>
      <c r="H20" s="175">
        <v>2</v>
      </c>
      <c r="I20" s="128">
        <v>19</v>
      </c>
    </row>
    <row r="21" spans="2:9" s="55" customFormat="1" ht="12.75">
      <c r="B21" s="307"/>
      <c r="C21" s="307"/>
      <c r="D21" s="170">
        <v>2016</v>
      </c>
      <c r="E21" s="175">
        <f>SUM(F21:I21)</f>
        <v>20</v>
      </c>
      <c r="F21" s="175">
        <v>2</v>
      </c>
      <c r="G21" s="175">
        <v>4</v>
      </c>
      <c r="H21" s="173">
        <v>1</v>
      </c>
      <c r="I21" s="128">
        <v>13</v>
      </c>
    </row>
    <row r="22" spans="2:9" s="55" customFormat="1" ht="12.75">
      <c r="B22" s="307"/>
      <c r="C22" s="307"/>
      <c r="D22" s="170">
        <v>2017</v>
      </c>
      <c r="E22" s="175">
        <f>F22+G22+H22+I22</f>
        <v>25</v>
      </c>
      <c r="F22" s="175">
        <v>1</v>
      </c>
      <c r="G22" s="175">
        <v>2</v>
      </c>
      <c r="H22" s="175">
        <v>12</v>
      </c>
      <c r="I22" s="128">
        <v>10</v>
      </c>
    </row>
    <row r="23" spans="2:9" s="55" customFormat="1" ht="12.75">
      <c r="B23" s="307"/>
      <c r="C23" s="307"/>
      <c r="D23" s="170"/>
      <c r="E23" s="175"/>
      <c r="F23" s="175"/>
      <c r="G23" s="175"/>
      <c r="H23" s="175"/>
      <c r="I23" s="128"/>
    </row>
    <row r="24" spans="2:9" s="55" customFormat="1" ht="12.75">
      <c r="B24" s="91" t="s">
        <v>170</v>
      </c>
      <c r="C24" s="91"/>
      <c r="D24" s="170">
        <v>2015</v>
      </c>
      <c r="E24" s="175">
        <f>SUM(F24:I24)</f>
        <v>50</v>
      </c>
      <c r="F24" s="175">
        <v>1</v>
      </c>
      <c r="G24" s="175">
        <v>14</v>
      </c>
      <c r="H24" s="175">
        <v>16</v>
      </c>
      <c r="I24" s="128">
        <v>19</v>
      </c>
    </row>
    <row r="25" spans="2:9" s="55" customFormat="1" ht="12.75">
      <c r="B25" s="91"/>
      <c r="C25" s="91"/>
      <c r="D25" s="170">
        <v>2016</v>
      </c>
      <c r="E25" s="175">
        <f>SUM(F25:I25)</f>
        <v>48</v>
      </c>
      <c r="F25" s="175">
        <v>1</v>
      </c>
      <c r="G25" s="175">
        <v>15</v>
      </c>
      <c r="H25" s="175">
        <v>13</v>
      </c>
      <c r="I25" s="128">
        <v>19</v>
      </c>
    </row>
    <row r="26" spans="2:9" s="55" customFormat="1" ht="12.75">
      <c r="B26" s="91"/>
      <c r="C26" s="91"/>
      <c r="D26" s="170">
        <v>2017</v>
      </c>
      <c r="E26" s="175">
        <f>F26+G26+H26+I26</f>
        <v>75</v>
      </c>
      <c r="F26" s="175">
        <v>1</v>
      </c>
      <c r="G26" s="175">
        <v>21</v>
      </c>
      <c r="H26" s="175">
        <v>26</v>
      </c>
      <c r="I26" s="128">
        <v>27</v>
      </c>
    </row>
    <row r="27" spans="2:9" s="55" customFormat="1" ht="12.75">
      <c r="B27" s="91"/>
      <c r="C27" s="91"/>
      <c r="D27" s="170"/>
      <c r="E27" s="175"/>
      <c r="F27" s="175"/>
      <c r="G27" s="175"/>
      <c r="H27" s="175"/>
      <c r="I27" s="128"/>
    </row>
    <row r="28" spans="2:9" s="55" customFormat="1" ht="12.75">
      <c r="B28" s="91" t="s">
        <v>171</v>
      </c>
      <c r="C28" s="91"/>
      <c r="D28" s="170">
        <v>2015</v>
      </c>
      <c r="E28" s="175">
        <f>SUM(F28:I28)</f>
        <v>13</v>
      </c>
      <c r="F28" s="173" t="s">
        <v>51</v>
      </c>
      <c r="G28" s="175">
        <v>5</v>
      </c>
      <c r="H28" s="175">
        <v>4</v>
      </c>
      <c r="I28" s="128">
        <v>4</v>
      </c>
    </row>
    <row r="29" spans="2:9" s="55" customFormat="1" ht="12.75">
      <c r="B29" s="91"/>
      <c r="C29" s="91"/>
      <c r="D29" s="170">
        <v>2016</v>
      </c>
      <c r="E29" s="175">
        <f>SUM(F29:I29)</f>
        <v>20</v>
      </c>
      <c r="F29" s="175">
        <v>1</v>
      </c>
      <c r="G29" s="175">
        <v>10</v>
      </c>
      <c r="H29" s="175" t="s">
        <v>51</v>
      </c>
      <c r="I29" s="128">
        <v>9</v>
      </c>
    </row>
    <row r="30" spans="2:9" s="55" customFormat="1" ht="12.75">
      <c r="B30" s="91"/>
      <c r="C30" s="91"/>
      <c r="D30" s="170">
        <v>2017</v>
      </c>
      <c r="E30" s="175">
        <f>F30+G30+H30+I30</f>
        <v>16</v>
      </c>
      <c r="F30" s="173">
        <v>3</v>
      </c>
      <c r="G30" s="175">
        <v>7</v>
      </c>
      <c r="H30" s="175">
        <v>1</v>
      </c>
      <c r="I30" s="128">
        <v>5</v>
      </c>
    </row>
    <row r="31" spans="2:9" s="55" customFormat="1" ht="12.75">
      <c r="B31" s="91"/>
      <c r="C31" s="91"/>
      <c r="D31" s="170"/>
      <c r="E31" s="175"/>
      <c r="F31" s="173"/>
      <c r="G31" s="175"/>
      <c r="H31" s="175"/>
      <c r="I31" s="128"/>
    </row>
    <row r="32" spans="2:9" s="55" customFormat="1" ht="12.75">
      <c r="B32" s="91" t="s">
        <v>172</v>
      </c>
      <c r="C32" s="91"/>
      <c r="D32" s="170">
        <v>2015</v>
      </c>
      <c r="E32" s="175">
        <f>SUM(F32:I32)</f>
        <v>56</v>
      </c>
      <c r="F32" s="175">
        <v>4</v>
      </c>
      <c r="G32" s="175">
        <v>10</v>
      </c>
      <c r="H32" s="175">
        <v>30</v>
      </c>
      <c r="I32" s="128">
        <v>12</v>
      </c>
    </row>
    <row r="33" spans="2:9" s="55" customFormat="1" ht="12.75">
      <c r="B33" s="91"/>
      <c r="C33" s="91"/>
      <c r="D33" s="170">
        <v>2016</v>
      </c>
      <c r="E33" s="175">
        <f>SUM(F33:I33)</f>
        <v>45</v>
      </c>
      <c r="F33" s="175">
        <v>4</v>
      </c>
      <c r="G33" s="175">
        <v>1</v>
      </c>
      <c r="H33" s="173">
        <v>30</v>
      </c>
      <c r="I33" s="128">
        <v>10</v>
      </c>
    </row>
    <row r="34" spans="2:9" s="55" customFormat="1" ht="12.75">
      <c r="B34" s="91"/>
      <c r="C34" s="91"/>
      <c r="D34" s="170">
        <v>2017</v>
      </c>
      <c r="E34" s="175">
        <f>F34+G34+H34+I34</f>
        <v>86</v>
      </c>
      <c r="F34" s="175">
        <v>3</v>
      </c>
      <c r="G34" s="175">
        <v>11</v>
      </c>
      <c r="H34" s="175">
        <v>55</v>
      </c>
      <c r="I34" s="128">
        <v>17</v>
      </c>
    </row>
    <row r="35" spans="2:9" s="55" customFormat="1" ht="12.75">
      <c r="B35" s="91"/>
      <c r="C35" s="91"/>
      <c r="D35" s="170"/>
      <c r="E35" s="175"/>
      <c r="F35" s="175"/>
      <c r="G35" s="175"/>
      <c r="H35" s="175"/>
      <c r="I35" s="128"/>
    </row>
    <row r="36" spans="2:9" s="55" customFormat="1" ht="12.75">
      <c r="B36" s="91" t="s">
        <v>173</v>
      </c>
      <c r="C36" s="91"/>
      <c r="D36" s="170">
        <v>2015</v>
      </c>
      <c r="E36" s="175">
        <f>SUM(F36:I36)</f>
        <v>40</v>
      </c>
      <c r="F36" s="175">
        <v>2</v>
      </c>
      <c r="G36" s="175">
        <v>13</v>
      </c>
      <c r="H36" s="175">
        <v>4</v>
      </c>
      <c r="I36" s="128">
        <v>21</v>
      </c>
    </row>
    <row r="37" spans="2:9" s="55" customFormat="1" ht="12.75">
      <c r="B37" s="91"/>
      <c r="C37" s="91"/>
      <c r="D37" s="170">
        <v>2016</v>
      </c>
      <c r="E37" s="175">
        <f>SUM(F37:I37)</f>
        <v>27</v>
      </c>
      <c r="F37" s="175">
        <v>1</v>
      </c>
      <c r="G37" s="175">
        <v>6</v>
      </c>
      <c r="H37" s="173">
        <v>7</v>
      </c>
      <c r="I37" s="128">
        <v>13</v>
      </c>
    </row>
    <row r="38" spans="2:9" s="55" customFormat="1" ht="12.75">
      <c r="B38" s="91"/>
      <c r="C38" s="91"/>
      <c r="D38" s="170">
        <v>2017</v>
      </c>
      <c r="E38" s="175">
        <f>F38+G38+H38+I38</f>
        <v>38</v>
      </c>
      <c r="F38" s="175">
        <v>1</v>
      </c>
      <c r="G38" s="175">
        <v>10</v>
      </c>
      <c r="H38" s="175">
        <v>6</v>
      </c>
      <c r="I38" s="128">
        <v>21</v>
      </c>
    </row>
    <row r="39" spans="2:9" s="55" customFormat="1" ht="12.75">
      <c r="B39" s="91"/>
      <c r="C39" s="91"/>
      <c r="D39" s="170"/>
      <c r="E39" s="175"/>
      <c r="F39" s="175"/>
      <c r="G39" s="175"/>
      <c r="H39" s="175"/>
      <c r="I39" s="128"/>
    </row>
    <row r="40" spans="2:9" s="55" customFormat="1" ht="12.75">
      <c r="B40" s="91" t="s">
        <v>174</v>
      </c>
      <c r="C40" s="91"/>
      <c r="D40" s="170">
        <v>2015</v>
      </c>
      <c r="E40" s="175">
        <f>SUM(F40:I40)</f>
        <v>12</v>
      </c>
      <c r="F40" s="175" t="s">
        <v>51</v>
      </c>
      <c r="G40" s="175">
        <v>3</v>
      </c>
      <c r="H40" s="175">
        <v>3</v>
      </c>
      <c r="I40" s="128">
        <v>6</v>
      </c>
    </row>
    <row r="41" spans="2:9" s="55" customFormat="1" ht="12.75">
      <c r="B41" s="91"/>
      <c r="C41" s="91"/>
      <c r="D41" s="170">
        <v>2016</v>
      </c>
      <c r="E41" s="175">
        <f>SUM(F41:I41)</f>
        <v>16</v>
      </c>
      <c r="F41" s="175">
        <v>1</v>
      </c>
      <c r="G41" s="175">
        <v>6</v>
      </c>
      <c r="H41" s="173">
        <v>1</v>
      </c>
      <c r="I41" s="128">
        <v>8</v>
      </c>
    </row>
    <row r="42" spans="2:9" s="55" customFormat="1" ht="12.75">
      <c r="B42" s="91"/>
      <c r="C42" s="91"/>
      <c r="D42" s="170">
        <v>2017</v>
      </c>
      <c r="E42" s="175">
        <f>F42+G42+I42</f>
        <v>6</v>
      </c>
      <c r="F42" s="175">
        <v>1</v>
      </c>
      <c r="G42" s="175">
        <v>4</v>
      </c>
      <c r="H42" s="173" t="s">
        <v>51</v>
      </c>
      <c r="I42" s="128">
        <v>1</v>
      </c>
    </row>
    <row r="43" spans="2:9" s="55" customFormat="1" ht="12.75">
      <c r="B43" s="91"/>
      <c r="C43" s="91"/>
      <c r="D43" s="170"/>
      <c r="E43" s="175"/>
      <c r="F43" s="175"/>
      <c r="G43" s="175"/>
      <c r="H43" s="175"/>
      <c r="I43" s="128"/>
    </row>
    <row r="44" spans="2:9" s="55" customFormat="1" ht="12.75">
      <c r="B44" s="91" t="s">
        <v>175</v>
      </c>
      <c r="C44" s="91"/>
      <c r="D44" s="170">
        <v>2015</v>
      </c>
      <c r="E44" s="175">
        <f>SUM(F44:I44)</f>
        <v>115</v>
      </c>
      <c r="F44" s="175">
        <v>2</v>
      </c>
      <c r="G44" s="175">
        <v>7</v>
      </c>
      <c r="H44" s="175">
        <v>62</v>
      </c>
      <c r="I44" s="128">
        <v>44</v>
      </c>
    </row>
    <row r="45" spans="2:9" s="55" customFormat="1" ht="12.75">
      <c r="B45" s="91"/>
      <c r="C45" s="91"/>
      <c r="D45" s="170">
        <v>2016</v>
      </c>
      <c r="E45" s="175">
        <f>SUM(F45:I45)</f>
        <v>84</v>
      </c>
      <c r="F45" s="175">
        <v>6</v>
      </c>
      <c r="G45" s="175">
        <v>17</v>
      </c>
      <c r="H45" s="173">
        <v>34</v>
      </c>
      <c r="I45" s="128">
        <v>27</v>
      </c>
    </row>
    <row r="46" spans="2:9" s="55" customFormat="1" ht="12.75">
      <c r="B46" s="91"/>
      <c r="C46" s="91"/>
      <c r="D46" s="170">
        <v>2017</v>
      </c>
      <c r="E46" s="175">
        <f>F46+G46+H46+I46</f>
        <v>97</v>
      </c>
      <c r="F46" s="175">
        <v>9</v>
      </c>
      <c r="G46" s="175">
        <v>21</v>
      </c>
      <c r="H46" s="175">
        <v>44</v>
      </c>
      <c r="I46" s="128">
        <v>23</v>
      </c>
    </row>
    <row r="47" spans="2:9" s="55" customFormat="1" ht="12.75">
      <c r="B47" s="91"/>
      <c r="C47" s="91"/>
      <c r="D47" s="170"/>
      <c r="E47" s="175"/>
      <c r="F47" s="175"/>
      <c r="G47" s="175"/>
      <c r="H47" s="175"/>
      <c r="I47" s="128"/>
    </row>
    <row r="48" spans="2:9" s="55" customFormat="1" ht="12.75">
      <c r="B48" s="91" t="s">
        <v>176</v>
      </c>
      <c r="C48" s="91"/>
      <c r="D48" s="170">
        <v>2015</v>
      </c>
      <c r="E48" s="175">
        <f>SUM(F48:I48)</f>
        <v>9</v>
      </c>
      <c r="F48" s="173" t="s">
        <v>51</v>
      </c>
      <c r="G48" s="175">
        <v>4</v>
      </c>
      <c r="H48" s="175" t="s">
        <v>51</v>
      </c>
      <c r="I48" s="128">
        <v>5</v>
      </c>
    </row>
    <row r="49" spans="1:10" s="55" customFormat="1" ht="12.75">
      <c r="B49" s="91"/>
      <c r="C49" s="91"/>
      <c r="D49" s="170">
        <v>2016</v>
      </c>
      <c r="E49" s="175">
        <f>SUM(F49:I49)</f>
        <v>11</v>
      </c>
      <c r="F49" s="173" t="s">
        <v>51</v>
      </c>
      <c r="G49" s="175">
        <v>9</v>
      </c>
      <c r="H49" s="173" t="s">
        <v>51</v>
      </c>
      <c r="I49" s="128">
        <v>2</v>
      </c>
    </row>
    <row r="50" spans="1:10" s="55" customFormat="1" ht="12.75">
      <c r="B50" s="91"/>
      <c r="C50" s="91"/>
      <c r="D50" s="170">
        <v>2017</v>
      </c>
      <c r="E50" s="175">
        <f>SUM(F50:I50)</f>
        <v>11</v>
      </c>
      <c r="F50" s="173" t="s">
        <v>51</v>
      </c>
      <c r="G50" s="175">
        <v>7</v>
      </c>
      <c r="H50" s="173" t="s">
        <v>51</v>
      </c>
      <c r="I50" s="128">
        <v>4</v>
      </c>
    </row>
    <row r="51" spans="1:10" s="55" customFormat="1" ht="12.75">
      <c r="B51" s="91"/>
      <c r="C51" s="91"/>
      <c r="D51" s="170"/>
      <c r="E51" s="175"/>
      <c r="F51" s="175"/>
      <c r="G51" s="175"/>
      <c r="H51" s="175"/>
      <c r="I51" s="128"/>
    </row>
    <row r="52" spans="1:10" s="55" customFormat="1" ht="12.75">
      <c r="B52" s="91" t="s">
        <v>177</v>
      </c>
      <c r="C52" s="91"/>
      <c r="D52" s="170">
        <v>2015</v>
      </c>
      <c r="E52" s="175">
        <f>SUM(F52:I52)</f>
        <v>22</v>
      </c>
      <c r="F52" s="175">
        <v>2</v>
      </c>
      <c r="G52" s="175">
        <v>12</v>
      </c>
      <c r="H52" s="175" t="s">
        <v>51</v>
      </c>
      <c r="I52" s="128">
        <v>8</v>
      </c>
    </row>
    <row r="53" spans="1:10" s="55" customFormat="1" ht="12.75">
      <c r="B53" s="91"/>
      <c r="C53" s="91"/>
      <c r="D53" s="170">
        <v>2016</v>
      </c>
      <c r="E53" s="175">
        <f>SUM(F53:I53)</f>
        <v>26</v>
      </c>
      <c r="F53" s="175">
        <v>2</v>
      </c>
      <c r="G53" s="175">
        <v>12</v>
      </c>
      <c r="H53" s="173">
        <v>2</v>
      </c>
      <c r="I53" s="128">
        <v>10</v>
      </c>
    </row>
    <row r="54" spans="1:10" s="55" customFormat="1" ht="12.75">
      <c r="B54" s="91"/>
      <c r="C54" s="91"/>
      <c r="D54" s="170">
        <v>2017</v>
      </c>
      <c r="E54" s="175">
        <f>F54+G54+H54+I54</f>
        <v>21</v>
      </c>
      <c r="F54" s="175">
        <v>2</v>
      </c>
      <c r="G54" s="175">
        <v>11</v>
      </c>
      <c r="H54" s="175">
        <v>4</v>
      </c>
      <c r="I54" s="128">
        <v>4</v>
      </c>
    </row>
    <row r="55" spans="1:10" s="55" customFormat="1" ht="12.75">
      <c r="B55" s="91"/>
      <c r="C55" s="91"/>
      <c r="D55" s="170"/>
      <c r="E55" s="175"/>
      <c r="F55" s="175"/>
      <c r="G55" s="175"/>
      <c r="H55" s="175"/>
      <c r="I55" s="128"/>
    </row>
    <row r="56" spans="1:10" s="55" customFormat="1" ht="12.75">
      <c r="B56" s="91" t="s">
        <v>178</v>
      </c>
      <c r="C56" s="91"/>
      <c r="D56" s="170">
        <v>2015</v>
      </c>
      <c r="E56" s="175">
        <f>SUM(F56:I56)</f>
        <v>22</v>
      </c>
      <c r="F56" s="175" t="s">
        <v>51</v>
      </c>
      <c r="G56" s="175">
        <v>10</v>
      </c>
      <c r="H56" s="175">
        <v>2</v>
      </c>
      <c r="I56" s="128">
        <v>10</v>
      </c>
    </row>
    <row r="57" spans="1:10" s="55" customFormat="1" ht="12.75">
      <c r="B57" s="91"/>
      <c r="C57" s="91"/>
      <c r="D57" s="170">
        <v>2016</v>
      </c>
      <c r="E57" s="175">
        <f>SUM(F57:I57)</f>
        <v>24</v>
      </c>
      <c r="F57" s="175">
        <v>2</v>
      </c>
      <c r="G57" s="175">
        <v>6</v>
      </c>
      <c r="H57" s="173">
        <v>3</v>
      </c>
      <c r="I57" s="128">
        <v>13</v>
      </c>
    </row>
    <row r="58" spans="1:10" s="55" customFormat="1" ht="12.75">
      <c r="B58" s="91"/>
      <c r="C58" s="91"/>
      <c r="D58" s="170">
        <v>2017</v>
      </c>
      <c r="E58" s="175">
        <f>F58+G58+H58+I58</f>
        <v>20</v>
      </c>
      <c r="F58" s="175">
        <v>1</v>
      </c>
      <c r="G58" s="175">
        <v>5</v>
      </c>
      <c r="H58" s="175">
        <v>8</v>
      </c>
      <c r="I58" s="128">
        <v>6</v>
      </c>
    </row>
    <row r="59" spans="1:10" s="55" customFormat="1" ht="8.1" customHeight="1" thickBot="1">
      <c r="A59" s="283"/>
      <c r="B59" s="284"/>
      <c r="C59" s="284"/>
      <c r="D59" s="284"/>
      <c r="E59" s="285"/>
      <c r="F59" s="286"/>
      <c r="G59" s="286"/>
      <c r="H59" s="286"/>
      <c r="I59" s="287"/>
      <c r="J59" s="283"/>
    </row>
    <row r="60" spans="1:10" s="55" customFormat="1" ht="12.75">
      <c r="B60" s="124"/>
      <c r="C60" s="124"/>
      <c r="D60" s="124"/>
      <c r="E60" s="70"/>
      <c r="F60" s="123"/>
      <c r="G60" s="123"/>
      <c r="H60" s="123"/>
      <c r="I60" s="265"/>
      <c r="J60" s="8" t="s">
        <v>104</v>
      </c>
    </row>
    <row r="61" spans="1:10" s="55" customFormat="1" ht="12.75">
      <c r="B61" s="124"/>
      <c r="C61" s="124"/>
      <c r="D61" s="124"/>
      <c r="E61" s="70"/>
      <c r="F61" s="123"/>
      <c r="G61" s="123"/>
      <c r="H61" s="123"/>
      <c r="I61" s="265"/>
      <c r="J61" s="41" t="s">
        <v>1</v>
      </c>
    </row>
  </sheetData>
  <mergeCells count="7">
    <mergeCell ref="I11:I12"/>
    <mergeCell ref="B11:C12"/>
    <mergeCell ref="D11:D12"/>
    <mergeCell ref="E11:E12"/>
    <mergeCell ref="F11:F12"/>
    <mergeCell ref="G11:G12"/>
    <mergeCell ref="H11:H12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5" fitToWidth="0" orientation="portrait" r:id="rId1"/>
  <headerFooter>
    <oddHeader xml:space="preserve">&amp;R&amp;"-,Bold"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J52"/>
  <sheetViews>
    <sheetView showGridLines="0" topLeftCell="A7" zoomScale="80" zoomScaleNormal="80" zoomScaleSheetLayoutView="100" workbookViewId="0">
      <selection activeCell="O30" sqref="O30"/>
    </sheetView>
  </sheetViews>
  <sheetFormatPr defaultRowHeight="15"/>
  <cols>
    <col min="1" max="1" width="1.42578125" style="2" customWidth="1"/>
    <col min="2" max="2" width="9.85546875" style="3" customWidth="1"/>
    <col min="3" max="3" width="8.85546875" style="3" customWidth="1"/>
    <col min="4" max="4" width="9.85546875" style="3" customWidth="1"/>
    <col min="5" max="5" width="13" style="21" customWidth="1"/>
    <col min="6" max="6" width="13" style="22" customWidth="1"/>
    <col min="7" max="7" width="12.140625" style="22" customWidth="1"/>
    <col min="8" max="8" width="13" style="22" customWidth="1"/>
    <col min="9" max="9" width="16.5703125" style="5" customWidth="1"/>
    <col min="10" max="10" width="0.85546875" style="2" customWidth="1"/>
    <col min="11" max="16384" width="9.140625" style="2"/>
  </cols>
  <sheetData>
    <row r="1" spans="1:10" ht="9.9499999999999993" customHeight="1">
      <c r="B1" s="3" t="s">
        <v>224</v>
      </c>
    </row>
    <row r="2" spans="1:10" s="30" customFormat="1" ht="12.95" customHeight="1">
      <c r="B2" s="27"/>
      <c r="C2" s="27"/>
      <c r="D2" s="29"/>
      <c r="E2" s="28"/>
      <c r="F2" s="29"/>
      <c r="I2" s="199" t="s">
        <v>188</v>
      </c>
      <c r="J2" s="29"/>
    </row>
    <row r="3" spans="1:10" s="30" customFormat="1" ht="12.95" customHeight="1">
      <c r="B3" s="27"/>
      <c r="C3" s="27"/>
      <c r="D3" s="29"/>
      <c r="E3" s="28"/>
      <c r="F3" s="29"/>
      <c r="I3" s="75" t="s">
        <v>189</v>
      </c>
      <c r="J3" s="29"/>
    </row>
    <row r="4" spans="1:10" s="30" customFormat="1" ht="12" customHeight="1">
      <c r="B4" s="27"/>
      <c r="C4" s="27"/>
      <c r="D4" s="29"/>
      <c r="E4" s="28"/>
      <c r="F4" s="29"/>
      <c r="G4" s="75"/>
      <c r="J4" s="29"/>
    </row>
    <row r="5" spans="1:10" s="30" customFormat="1" ht="12" customHeight="1">
      <c r="B5" s="27"/>
      <c r="C5" s="27"/>
      <c r="D5" s="29"/>
      <c r="E5" s="28"/>
      <c r="F5" s="29"/>
      <c r="G5" s="75"/>
      <c r="J5" s="29"/>
    </row>
    <row r="6" spans="1:10" s="55" customFormat="1" ht="9.75" customHeight="1">
      <c r="B6" s="124"/>
      <c r="C6" s="124"/>
      <c r="D6" s="265"/>
      <c r="E6" s="266"/>
      <c r="F6" s="265"/>
      <c r="G6" s="265"/>
      <c r="H6" s="267"/>
      <c r="I6" s="265"/>
      <c r="J6" s="123"/>
    </row>
    <row r="7" spans="1:10" s="55" customFormat="1" ht="15" customHeight="1">
      <c r="B7" s="88" t="s">
        <v>225</v>
      </c>
      <c r="C7" s="71" t="s">
        <v>230</v>
      </c>
      <c r="D7" s="124"/>
      <c r="E7" s="71"/>
      <c r="F7" s="71"/>
      <c r="G7" s="71"/>
      <c r="H7" s="71"/>
      <c r="I7" s="71"/>
      <c r="J7" s="71"/>
    </row>
    <row r="8" spans="1:10" s="72" customFormat="1" ht="15" customHeight="1">
      <c r="B8" s="89" t="s">
        <v>227</v>
      </c>
      <c r="C8" s="74" t="s">
        <v>231</v>
      </c>
      <c r="E8" s="74"/>
      <c r="F8" s="74"/>
      <c r="G8" s="74"/>
      <c r="H8" s="74"/>
      <c r="I8" s="74"/>
      <c r="J8" s="74"/>
    </row>
    <row r="9" spans="1:10" s="55" customFormat="1" ht="6.75" customHeight="1" thickBot="1">
      <c r="B9" s="124"/>
      <c r="C9" s="124"/>
      <c r="D9" s="124"/>
      <c r="E9" s="70"/>
      <c r="F9" s="123"/>
      <c r="G9" s="123"/>
      <c r="H9" s="123"/>
      <c r="I9" s="265"/>
    </row>
    <row r="10" spans="1:10" s="55" customFormat="1" ht="9.9499999999999993" customHeight="1" thickTop="1">
      <c r="A10" s="268"/>
      <c r="B10" s="269"/>
      <c r="C10" s="269"/>
      <c r="D10" s="270"/>
      <c r="E10" s="271"/>
      <c r="F10" s="272"/>
      <c r="G10" s="272"/>
      <c r="H10" s="272"/>
      <c r="I10" s="273"/>
      <c r="J10" s="268"/>
    </row>
    <row r="11" spans="1:10" s="55" customFormat="1" ht="21" customHeight="1">
      <c r="A11" s="249"/>
      <c r="B11" s="274" t="s">
        <v>229</v>
      </c>
      <c r="C11" s="274"/>
      <c r="D11" s="253" t="s">
        <v>100</v>
      </c>
      <c r="E11" s="253" t="s">
        <v>95</v>
      </c>
      <c r="F11" s="275" t="s">
        <v>207</v>
      </c>
      <c r="G11" s="275" t="s">
        <v>208</v>
      </c>
      <c r="H11" s="275" t="s">
        <v>209</v>
      </c>
      <c r="I11" s="275" t="s">
        <v>210</v>
      </c>
      <c r="J11" s="276"/>
    </row>
    <row r="12" spans="1:10" s="55" customFormat="1" ht="15.75" customHeight="1">
      <c r="A12" s="277"/>
      <c r="B12" s="278"/>
      <c r="C12" s="278"/>
      <c r="D12" s="259"/>
      <c r="E12" s="259"/>
      <c r="F12" s="279"/>
      <c r="G12" s="279"/>
      <c r="H12" s="279"/>
      <c r="I12" s="279"/>
      <c r="J12" s="56"/>
    </row>
    <row r="13" spans="1:10" s="55" customFormat="1" ht="6" customHeight="1">
      <c r="A13" s="125"/>
      <c r="B13" s="243"/>
      <c r="C13" s="243"/>
      <c r="D13" s="99"/>
      <c r="E13" s="99"/>
      <c r="F13" s="280"/>
      <c r="G13" s="280"/>
      <c r="H13" s="280"/>
      <c r="I13" s="280"/>
      <c r="J13" s="95"/>
    </row>
    <row r="14" spans="1:10" s="115" customFormat="1" ht="15" customHeight="1">
      <c r="A14" s="298"/>
      <c r="B14" s="133" t="s">
        <v>129</v>
      </c>
      <c r="C14" s="133"/>
      <c r="D14" s="69">
        <v>2015</v>
      </c>
      <c r="E14" s="174">
        <f>SUM(F14:I14)</f>
        <v>853</v>
      </c>
      <c r="F14" s="174">
        <v>37</v>
      </c>
      <c r="G14" s="174">
        <v>148</v>
      </c>
      <c r="H14" s="174">
        <v>306</v>
      </c>
      <c r="I14" s="174">
        <v>362</v>
      </c>
    </row>
    <row r="15" spans="1:10" s="115" customFormat="1" ht="15" customHeight="1">
      <c r="A15" s="298"/>
      <c r="B15" s="133"/>
      <c r="C15" s="133"/>
      <c r="D15" s="69">
        <v>2016</v>
      </c>
      <c r="E15" s="174">
        <f>SUM(F15:I15)</f>
        <v>953</v>
      </c>
      <c r="F15" s="174">
        <v>27</v>
      </c>
      <c r="G15" s="174">
        <v>138</v>
      </c>
      <c r="H15" s="174">
        <v>374</v>
      </c>
      <c r="I15" s="174">
        <v>414</v>
      </c>
    </row>
    <row r="16" spans="1:10" s="115" customFormat="1" ht="15" customHeight="1">
      <c r="A16" s="298"/>
      <c r="B16" s="133"/>
      <c r="C16" s="133"/>
      <c r="D16" s="69">
        <v>2017</v>
      </c>
      <c r="E16" s="174">
        <f>SUM(F16:I16)</f>
        <v>876</v>
      </c>
      <c r="F16" s="174">
        <f>F32+F48+'1.4Sarawak (2)'!F18+'1.4Sarawak (2)'!F22+'1.4Sarawak (2)'!F30+'1.4Sarawak (2)'!F50+'1.4Sarawak (2)'!F54+'1.4Sarawak (3)'!F22+'1.4Sarawak (3)'!F30+'1.4Sarawak (3)'!F34+'1.4Sarawak (3)'!F38+'1.4Sarawak (3)'!F50</f>
        <v>27</v>
      </c>
      <c r="G16" s="174">
        <f>G20+G24+G28+G32+G36+G40+G44+G48+'1.4Sarawak (2)'!G18+'1.4Sarawak (2)'!G22+'1.4Sarawak (2)'!G26+'1.4Sarawak (2)'!G30+'1.4Sarawak (2)'!G34+'1.4Sarawak (2)'!G42+'1.4Sarawak (2)'!G46+'1.4Sarawak (2)'!G50+'1.4Sarawak (2)'!G54+'1.4Sarawak (3)'!G18+'1.4Sarawak (3)'!G22+'1.4Sarawak (3)'!G26+'1.4Sarawak (3)'!G30+'1.4Sarawak (3)'!G34+'1.4Sarawak (3)'!G38+'1.4Sarawak (3)'!G42+'1.4Sarawak (3)'!G46+'1.4Sarawak (3)'!G50</f>
        <v>150</v>
      </c>
      <c r="H16" s="174">
        <f>H20+H28+H32+H36+H40+'1.4Sarawak (2)'!H18+'1.4Sarawak (2)'!H22+'1.4Sarawak (2)'!H26+'1.4Sarawak (2)'!H30+'1.4Sarawak (2)'!H38+'1.4Sarawak (2)'!H42+'1.4Sarawak (2)'!H46+'1.4Sarawak (2)'!H54+'1.4Sarawak (3)'!H18+'1.4Sarawak (3)'!H22+'1.4Sarawak (3)'!H26+'1.4Sarawak (3)'!H30+'1.4Sarawak (3)'!H34+'1.4Sarawak (3)'!H38+'1.4Sarawak (3)'!H50</f>
        <v>331</v>
      </c>
      <c r="I16" s="174">
        <f>I20+I24+I28+I32+I36+I40+I44+I48+'1.4Sarawak (2)'!I18+'1.4Sarawak (2)'!I22+'1.4Sarawak (2)'!I26+'1.4Sarawak (2)'!I30+'1.4Sarawak (2)'!I34+'1.4Sarawak (2)'!I38+'1.4Sarawak (2)'!I42+'1.4Sarawak (2)'!I46+'1.4Sarawak (2)'!I50+'1.4Sarawak (2)'!I54+'1.4Sarawak (3)'!I18+'1.4Sarawak (3)'!I22+'1.4Sarawak (3)'!I26+'1.4Sarawak (3)'!I30+'1.4Sarawak (3)'!I34+'1.4Sarawak (3)'!I38+'1.4Sarawak (3)'!I42+'1.4Sarawak (3)'!I46+'1.4Sarawak (3)'!I50+'1.4Sarawak (3)'!I54</f>
        <v>368</v>
      </c>
      <c r="J16" s="174">
        <f>J20+J24+J28+J32+J36+J40+J44+J48+'1.4Sarawak (2)'!J18+'1.4Sarawak (2)'!J22+'1.4Sarawak (2)'!J26+'1.4Sarawak (2)'!J30+'1.4Sarawak (2)'!J34+'1.4Sarawak (2)'!J38+'1.4Sarawak (2)'!J42+'1.4Sarawak (2)'!J46+'1.4Sarawak (2)'!J50+'1.4Sarawak (2)'!J54+'1.4Sarawak (3)'!J18+'1.4Sarawak (3)'!J22+'1.4Sarawak (3)'!J26+'1.4Sarawak (3)'!J30+'1.4Sarawak (3)'!J34+'1.4Sarawak (3)'!J38+'1.4Sarawak (3)'!J42+'1.4Sarawak (3)'!J46+'1.4Sarawak (3)'!J50+'1.4Sarawak (3)'!J54</f>
        <v>0</v>
      </c>
    </row>
    <row r="17" spans="1:9" s="115" customFormat="1" ht="15" customHeight="1">
      <c r="A17" s="298"/>
      <c r="B17" s="133"/>
      <c r="C17" s="133"/>
      <c r="D17" s="69"/>
      <c r="E17" s="174"/>
      <c r="F17" s="174"/>
      <c r="G17" s="174"/>
      <c r="H17" s="174"/>
      <c r="I17" s="174"/>
    </row>
    <row r="18" spans="1:9" s="115" customFormat="1" ht="15" customHeight="1">
      <c r="A18" s="298"/>
      <c r="B18" s="91" t="s">
        <v>130</v>
      </c>
      <c r="C18" s="91"/>
      <c r="D18" s="170">
        <v>2015</v>
      </c>
      <c r="E18" s="175">
        <f>SUM(F18:I18)</f>
        <v>9</v>
      </c>
      <c r="F18" s="175" t="s">
        <v>51</v>
      </c>
      <c r="G18" s="175">
        <v>4</v>
      </c>
      <c r="H18" s="175">
        <v>1</v>
      </c>
      <c r="I18" s="175">
        <v>4</v>
      </c>
    </row>
    <row r="19" spans="1:9" s="115" customFormat="1" ht="15" customHeight="1">
      <c r="A19" s="298"/>
      <c r="B19" s="91"/>
      <c r="C19" s="91"/>
      <c r="D19" s="170">
        <v>2016</v>
      </c>
      <c r="E19" s="175">
        <f>SUM(F19:I19)</f>
        <v>14</v>
      </c>
      <c r="F19" s="175">
        <v>2</v>
      </c>
      <c r="G19" s="175">
        <v>1</v>
      </c>
      <c r="H19" s="175">
        <v>6</v>
      </c>
      <c r="I19" s="175">
        <v>5</v>
      </c>
    </row>
    <row r="20" spans="1:9" s="115" customFormat="1" ht="15" customHeight="1">
      <c r="A20" s="298"/>
      <c r="B20" s="91"/>
      <c r="C20" s="91"/>
      <c r="D20" s="170">
        <v>2017</v>
      </c>
      <c r="E20" s="175">
        <f>SUM(F20:I20)</f>
        <v>9</v>
      </c>
      <c r="F20" s="173" t="s">
        <v>51</v>
      </c>
      <c r="G20" s="175">
        <v>2</v>
      </c>
      <c r="H20" s="175">
        <v>3</v>
      </c>
      <c r="I20" s="175">
        <v>4</v>
      </c>
    </row>
    <row r="21" spans="1:9" s="115" customFormat="1" ht="15" customHeight="1">
      <c r="A21" s="298"/>
      <c r="B21" s="91"/>
      <c r="C21" s="91"/>
      <c r="D21" s="170"/>
      <c r="E21" s="175"/>
      <c r="F21" s="175"/>
      <c r="G21" s="175"/>
      <c r="H21" s="175"/>
      <c r="I21" s="175"/>
    </row>
    <row r="22" spans="1:9" s="125" customFormat="1" ht="15" customHeight="1">
      <c r="A22" s="298"/>
      <c r="B22" s="91" t="s">
        <v>131</v>
      </c>
      <c r="C22" s="91"/>
      <c r="D22" s="170">
        <v>2015</v>
      </c>
      <c r="E22" s="175">
        <f>SUM(F22:I22)</f>
        <v>9</v>
      </c>
      <c r="F22" s="175" t="s">
        <v>51</v>
      </c>
      <c r="G22" s="175">
        <v>1</v>
      </c>
      <c r="H22" s="175" t="s">
        <v>51</v>
      </c>
      <c r="I22" s="175">
        <v>8</v>
      </c>
    </row>
    <row r="23" spans="1:9" s="125" customFormat="1" ht="15" customHeight="1">
      <c r="A23" s="298"/>
      <c r="B23" s="91"/>
      <c r="C23" s="91"/>
      <c r="D23" s="170">
        <v>2016</v>
      </c>
      <c r="E23" s="175">
        <f>SUM(F23:I23)</f>
        <v>17</v>
      </c>
      <c r="F23" s="175">
        <v>2</v>
      </c>
      <c r="G23" s="175">
        <v>9</v>
      </c>
      <c r="H23" s="175" t="s">
        <v>51</v>
      </c>
      <c r="I23" s="175">
        <v>6</v>
      </c>
    </row>
    <row r="24" spans="1:9" s="125" customFormat="1" ht="15" customHeight="1">
      <c r="A24" s="298"/>
      <c r="B24" s="91"/>
      <c r="C24" s="91"/>
      <c r="D24" s="170">
        <v>2017</v>
      </c>
      <c r="E24" s="175">
        <f>SUM(F24:I24)</f>
        <v>6</v>
      </c>
      <c r="F24" s="173" t="s">
        <v>51</v>
      </c>
      <c r="G24" s="175">
        <v>2</v>
      </c>
      <c r="H24" s="173" t="s">
        <v>51</v>
      </c>
      <c r="I24" s="175">
        <v>4</v>
      </c>
    </row>
    <row r="25" spans="1:9" s="125" customFormat="1" ht="15" customHeight="1">
      <c r="A25" s="298"/>
      <c r="B25" s="91"/>
      <c r="C25" s="91"/>
      <c r="D25" s="170"/>
      <c r="E25" s="175"/>
      <c r="F25" s="175"/>
      <c r="G25" s="175"/>
      <c r="H25" s="175"/>
      <c r="I25" s="175"/>
    </row>
    <row r="26" spans="1:9" s="125" customFormat="1" ht="15" customHeight="1">
      <c r="A26" s="298"/>
      <c r="B26" s="91" t="s">
        <v>132</v>
      </c>
      <c r="C26" s="91"/>
      <c r="D26" s="170">
        <v>2015</v>
      </c>
      <c r="E26" s="175">
        <f>SUM(F26:I26)</f>
        <v>7</v>
      </c>
      <c r="F26" s="175" t="s">
        <v>51</v>
      </c>
      <c r="G26" s="175" t="s">
        <v>51</v>
      </c>
      <c r="H26" s="175">
        <v>2</v>
      </c>
      <c r="I26" s="175">
        <v>5</v>
      </c>
    </row>
    <row r="27" spans="1:9" s="125" customFormat="1" ht="15" customHeight="1">
      <c r="A27" s="298"/>
      <c r="B27" s="91"/>
      <c r="C27" s="91"/>
      <c r="D27" s="170">
        <v>2016</v>
      </c>
      <c r="E27" s="175">
        <f>SUM(F27:I27)</f>
        <v>7</v>
      </c>
      <c r="F27" s="175" t="s">
        <v>51</v>
      </c>
      <c r="G27" s="175">
        <v>2</v>
      </c>
      <c r="H27" s="175">
        <v>2</v>
      </c>
      <c r="I27" s="175">
        <v>3</v>
      </c>
    </row>
    <row r="28" spans="1:9" s="125" customFormat="1" ht="15" customHeight="1">
      <c r="A28" s="298"/>
      <c r="B28" s="91"/>
      <c r="C28" s="91"/>
      <c r="D28" s="170">
        <v>2017</v>
      </c>
      <c r="E28" s="175">
        <f>SUM(F28:I28)</f>
        <v>18</v>
      </c>
      <c r="F28" s="173" t="s">
        <v>51</v>
      </c>
      <c r="G28" s="175">
        <v>7</v>
      </c>
      <c r="H28" s="175">
        <v>4</v>
      </c>
      <c r="I28" s="175">
        <v>7</v>
      </c>
    </row>
    <row r="29" spans="1:9" s="125" customFormat="1" ht="15" customHeight="1">
      <c r="A29" s="298"/>
      <c r="B29" s="91"/>
      <c r="C29" s="91"/>
      <c r="D29" s="170"/>
      <c r="E29" s="175"/>
      <c r="F29" s="175"/>
      <c r="G29" s="175"/>
      <c r="H29" s="175"/>
      <c r="I29" s="175"/>
    </row>
    <row r="30" spans="1:9" s="125" customFormat="1" ht="15" customHeight="1">
      <c r="A30" s="298"/>
      <c r="B30" s="91" t="s">
        <v>133</v>
      </c>
      <c r="C30" s="91"/>
      <c r="D30" s="170">
        <v>2015</v>
      </c>
      <c r="E30" s="175">
        <f>SUM(F30:I30)</f>
        <v>75</v>
      </c>
      <c r="F30" s="175">
        <v>7</v>
      </c>
      <c r="G30" s="175">
        <v>6</v>
      </c>
      <c r="H30" s="175">
        <v>20</v>
      </c>
      <c r="I30" s="175">
        <v>42</v>
      </c>
    </row>
    <row r="31" spans="1:9" s="125" customFormat="1" ht="15" customHeight="1">
      <c r="A31" s="298"/>
      <c r="B31" s="91"/>
      <c r="C31" s="91"/>
      <c r="D31" s="170">
        <v>2016</v>
      </c>
      <c r="E31" s="175">
        <f>SUM(F31:I31)</f>
        <v>72</v>
      </c>
      <c r="F31" s="175">
        <v>3</v>
      </c>
      <c r="G31" s="175">
        <v>19</v>
      </c>
      <c r="H31" s="175">
        <v>18</v>
      </c>
      <c r="I31" s="175">
        <v>32</v>
      </c>
    </row>
    <row r="32" spans="1:9" s="125" customFormat="1" ht="15" customHeight="1">
      <c r="A32" s="298"/>
      <c r="B32" s="91"/>
      <c r="C32" s="91"/>
      <c r="D32" s="170">
        <v>2017</v>
      </c>
      <c r="E32" s="175">
        <f>SUM(F32:I32)</f>
        <v>63</v>
      </c>
      <c r="F32" s="175">
        <v>2</v>
      </c>
      <c r="G32" s="175">
        <v>12</v>
      </c>
      <c r="H32" s="175">
        <v>28</v>
      </c>
      <c r="I32" s="175">
        <v>21</v>
      </c>
    </row>
    <row r="33" spans="1:9" s="125" customFormat="1" ht="15" customHeight="1">
      <c r="A33" s="298"/>
      <c r="B33" s="91"/>
      <c r="C33" s="91"/>
      <c r="D33" s="170"/>
      <c r="E33" s="175"/>
      <c r="F33" s="175"/>
      <c r="G33" s="175"/>
      <c r="H33" s="175"/>
      <c r="I33" s="175"/>
    </row>
    <row r="34" spans="1:9" s="125" customFormat="1" ht="15" customHeight="1">
      <c r="A34" s="298"/>
      <c r="B34" s="91" t="s">
        <v>134</v>
      </c>
      <c r="C34" s="91"/>
      <c r="D34" s="170">
        <v>2015</v>
      </c>
      <c r="E34" s="175">
        <f>SUM(F34:I34)</f>
        <v>4</v>
      </c>
      <c r="F34" s="175" t="s">
        <v>51</v>
      </c>
      <c r="G34" s="175">
        <v>2</v>
      </c>
      <c r="H34" s="175" t="s">
        <v>51</v>
      </c>
      <c r="I34" s="175">
        <v>2</v>
      </c>
    </row>
    <row r="35" spans="1:9" s="125" customFormat="1" ht="15" customHeight="1">
      <c r="A35" s="298"/>
      <c r="B35" s="91"/>
      <c r="C35" s="91"/>
      <c r="D35" s="170">
        <v>2016</v>
      </c>
      <c r="E35" s="175">
        <f>SUM(F35:I35)</f>
        <v>3</v>
      </c>
      <c r="F35" s="175" t="s">
        <v>51</v>
      </c>
      <c r="G35" s="175" t="s">
        <v>51</v>
      </c>
      <c r="H35" s="175">
        <v>1</v>
      </c>
      <c r="I35" s="175">
        <v>2</v>
      </c>
    </row>
    <row r="36" spans="1:9" s="125" customFormat="1" ht="15" customHeight="1">
      <c r="A36" s="298"/>
      <c r="B36" s="91"/>
      <c r="C36" s="91"/>
      <c r="D36" s="170">
        <v>2017</v>
      </c>
      <c r="E36" s="175">
        <f>SUM(F36:I36)</f>
        <v>7</v>
      </c>
      <c r="F36" s="173" t="s">
        <v>51</v>
      </c>
      <c r="G36" s="175">
        <v>4</v>
      </c>
      <c r="H36" s="175">
        <v>1</v>
      </c>
      <c r="I36" s="175">
        <v>2</v>
      </c>
    </row>
    <row r="37" spans="1:9" s="125" customFormat="1" ht="15" customHeight="1">
      <c r="A37" s="298"/>
      <c r="B37" s="91"/>
      <c r="C37" s="91"/>
      <c r="D37" s="170"/>
      <c r="E37" s="175"/>
      <c r="F37" s="175"/>
      <c r="G37" s="175"/>
      <c r="H37" s="175"/>
      <c r="I37" s="175"/>
    </row>
    <row r="38" spans="1:9" s="125" customFormat="1" ht="15" customHeight="1">
      <c r="A38" s="298"/>
      <c r="B38" s="91" t="s">
        <v>135</v>
      </c>
      <c r="C38" s="91"/>
      <c r="D38" s="170">
        <v>2015</v>
      </c>
      <c r="E38" s="175">
        <f>SUM(F38:I38)</f>
        <v>5</v>
      </c>
      <c r="F38" s="175" t="s">
        <v>51</v>
      </c>
      <c r="G38" s="175">
        <v>1</v>
      </c>
      <c r="H38" s="175" t="s">
        <v>51</v>
      </c>
      <c r="I38" s="175">
        <v>4</v>
      </c>
    </row>
    <row r="39" spans="1:9" s="125" customFormat="1" ht="15" customHeight="1">
      <c r="A39" s="298"/>
      <c r="B39" s="91"/>
      <c r="C39" s="91"/>
      <c r="D39" s="170">
        <v>2016</v>
      </c>
      <c r="E39" s="175">
        <f>SUM(F39:I39)</f>
        <v>3</v>
      </c>
      <c r="F39" s="175" t="s">
        <v>51</v>
      </c>
      <c r="G39" s="175">
        <v>1</v>
      </c>
      <c r="H39" s="175" t="s">
        <v>51</v>
      </c>
      <c r="I39" s="175">
        <v>2</v>
      </c>
    </row>
    <row r="40" spans="1:9" s="125" customFormat="1" ht="15" customHeight="1">
      <c r="A40" s="298"/>
      <c r="B40" s="91"/>
      <c r="C40" s="91"/>
      <c r="D40" s="170">
        <v>2017</v>
      </c>
      <c r="E40" s="175">
        <f>SUM(F40:I40)</f>
        <v>5</v>
      </c>
      <c r="F40" s="173" t="s">
        <v>51</v>
      </c>
      <c r="G40" s="175">
        <v>1</v>
      </c>
      <c r="H40" s="175">
        <v>1</v>
      </c>
      <c r="I40" s="175">
        <v>3</v>
      </c>
    </row>
    <row r="41" spans="1:9" s="125" customFormat="1" ht="15" customHeight="1">
      <c r="A41" s="298"/>
      <c r="B41" s="91"/>
      <c r="C41" s="91"/>
      <c r="D41" s="170"/>
      <c r="E41" s="175"/>
      <c r="F41" s="175"/>
      <c r="G41" s="175"/>
      <c r="H41" s="175"/>
      <c r="I41" s="175"/>
    </row>
    <row r="42" spans="1:9" s="125" customFormat="1" ht="15" customHeight="1">
      <c r="A42" s="298"/>
      <c r="B42" s="91" t="s">
        <v>136</v>
      </c>
      <c r="C42" s="91"/>
      <c r="D42" s="170">
        <v>2015</v>
      </c>
      <c r="E42" s="175">
        <f>SUM(F42:I42)</f>
        <v>3</v>
      </c>
      <c r="F42" s="175" t="s">
        <v>51</v>
      </c>
      <c r="G42" s="175">
        <v>1</v>
      </c>
      <c r="H42" s="175" t="s">
        <v>51</v>
      </c>
      <c r="I42" s="175">
        <v>2</v>
      </c>
    </row>
    <row r="43" spans="1:9" s="125" customFormat="1" ht="15" customHeight="1">
      <c r="A43" s="298"/>
      <c r="B43" s="91"/>
      <c r="C43" s="91"/>
      <c r="D43" s="170">
        <v>2016</v>
      </c>
      <c r="E43" s="175">
        <f>SUM(F43:I43)</f>
        <v>2</v>
      </c>
      <c r="F43" s="175" t="s">
        <v>51</v>
      </c>
      <c r="G43" s="175">
        <v>1</v>
      </c>
      <c r="H43" s="175" t="s">
        <v>51</v>
      </c>
      <c r="I43" s="175">
        <v>1</v>
      </c>
    </row>
    <row r="44" spans="1:9" s="125" customFormat="1" ht="15" customHeight="1">
      <c r="A44" s="298"/>
      <c r="B44" s="91"/>
      <c r="C44" s="91"/>
      <c r="D44" s="170">
        <v>2017</v>
      </c>
      <c r="E44" s="175">
        <f>SUM(F44:I44)</f>
        <v>5</v>
      </c>
      <c r="F44" s="173" t="s">
        <v>51</v>
      </c>
      <c r="G44" s="175">
        <v>4</v>
      </c>
      <c r="H44" s="173" t="s">
        <v>51</v>
      </c>
      <c r="I44" s="175">
        <v>1</v>
      </c>
    </row>
    <row r="45" spans="1:9" s="125" customFormat="1" ht="15" customHeight="1">
      <c r="A45" s="298"/>
      <c r="B45" s="91"/>
      <c r="C45" s="91"/>
      <c r="D45" s="170"/>
      <c r="E45" s="175"/>
      <c r="F45" s="175"/>
      <c r="G45" s="175"/>
      <c r="H45" s="175"/>
      <c r="I45" s="175"/>
    </row>
    <row r="46" spans="1:9" s="125" customFormat="1" ht="15" customHeight="1">
      <c r="A46" s="298"/>
      <c r="B46" s="91" t="s">
        <v>137</v>
      </c>
      <c r="C46" s="91"/>
      <c r="D46" s="170">
        <v>2015</v>
      </c>
      <c r="E46" s="175">
        <f>SUM(F46:I46)</f>
        <v>10</v>
      </c>
      <c r="F46" s="175" t="s">
        <v>51</v>
      </c>
      <c r="G46" s="175">
        <v>1</v>
      </c>
      <c r="H46" s="175" t="s">
        <v>51</v>
      </c>
      <c r="I46" s="175">
        <v>9</v>
      </c>
    </row>
    <row r="47" spans="1:9" s="125" customFormat="1" ht="15" customHeight="1">
      <c r="A47" s="298"/>
      <c r="B47" s="91"/>
      <c r="C47" s="91"/>
      <c r="D47" s="170">
        <v>2016</v>
      </c>
      <c r="E47" s="175">
        <f>SUM(F47:I47)</f>
        <v>16</v>
      </c>
      <c r="F47" s="175" t="s">
        <v>51</v>
      </c>
      <c r="G47" s="175">
        <v>8</v>
      </c>
      <c r="H47" s="175" t="s">
        <v>51</v>
      </c>
      <c r="I47" s="175">
        <v>8</v>
      </c>
    </row>
    <row r="48" spans="1:9" s="125" customFormat="1" ht="15" customHeight="1">
      <c r="A48" s="298"/>
      <c r="B48" s="91"/>
      <c r="C48" s="91"/>
      <c r="D48" s="170">
        <v>2017</v>
      </c>
      <c r="E48" s="175">
        <f>SUM(F48:I48)</f>
        <v>11</v>
      </c>
      <c r="F48" s="175">
        <v>2</v>
      </c>
      <c r="G48" s="175">
        <v>3</v>
      </c>
      <c r="H48" s="173" t="s">
        <v>51</v>
      </c>
      <c r="I48" s="175">
        <v>6</v>
      </c>
    </row>
    <row r="49" spans="1:10" s="55" customFormat="1" ht="8.1" customHeight="1" thickBot="1">
      <c r="A49" s="283"/>
      <c r="B49" s="284"/>
      <c r="C49" s="284"/>
      <c r="D49" s="284"/>
      <c r="E49" s="285"/>
      <c r="F49" s="286"/>
      <c r="G49" s="286"/>
      <c r="H49" s="286"/>
      <c r="I49" s="287"/>
      <c r="J49" s="283"/>
    </row>
    <row r="50" spans="1:10" s="55" customFormat="1" ht="12.75">
      <c r="B50" s="124"/>
      <c r="C50" s="124"/>
      <c r="D50" s="124"/>
      <c r="E50" s="70"/>
      <c r="F50" s="123"/>
      <c r="G50" s="123"/>
      <c r="H50" s="123"/>
      <c r="I50" s="265"/>
      <c r="J50" s="8" t="s">
        <v>104</v>
      </c>
    </row>
    <row r="51" spans="1:10" s="55" customFormat="1" ht="12.75">
      <c r="B51" s="124"/>
      <c r="C51" s="124"/>
      <c r="D51" s="124"/>
      <c r="E51" s="70"/>
      <c r="F51" s="123"/>
      <c r="G51" s="123"/>
      <c r="H51" s="123"/>
      <c r="I51" s="265"/>
      <c r="J51" s="41" t="s">
        <v>1</v>
      </c>
    </row>
    <row r="52" spans="1:10" s="7" customFormat="1" ht="17.100000000000001" customHeight="1">
      <c r="A52" s="308"/>
      <c r="B52" s="40"/>
      <c r="C52" s="40"/>
      <c r="D52" s="43"/>
      <c r="E52" s="10"/>
      <c r="F52" s="10"/>
      <c r="G52" s="10"/>
      <c r="H52" s="10"/>
      <c r="I52" s="10"/>
    </row>
  </sheetData>
  <mergeCells count="7">
    <mergeCell ref="I11:I12"/>
    <mergeCell ref="B11:C12"/>
    <mergeCell ref="D11:D12"/>
    <mergeCell ref="E11:E12"/>
    <mergeCell ref="F11:F12"/>
    <mergeCell ref="G11:G12"/>
    <mergeCell ref="H11:H12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5" fitToWidth="0" orientation="portrait" r:id="rId1"/>
  <headerFooter>
    <oddHeader xml:space="preserve">&amp;R&amp;"-,Bold"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80"/>
  <sheetViews>
    <sheetView showGridLines="0" zoomScaleNormal="100" zoomScaleSheetLayoutView="100" workbookViewId="0">
      <selection activeCell="O30" sqref="O30"/>
    </sheetView>
  </sheetViews>
  <sheetFormatPr defaultRowHeight="15"/>
  <cols>
    <col min="1" max="1" width="1.5703125" style="2" customWidth="1"/>
    <col min="2" max="2" width="9.85546875" style="3" customWidth="1"/>
    <col min="3" max="3" width="8.85546875" style="3" customWidth="1"/>
    <col min="4" max="4" width="9.85546875" style="3" customWidth="1"/>
    <col min="5" max="5" width="13" style="21" customWidth="1"/>
    <col min="6" max="6" width="13" style="22" customWidth="1"/>
    <col min="7" max="7" width="12.140625" style="22" customWidth="1"/>
    <col min="8" max="8" width="13" style="22" customWidth="1"/>
    <col min="9" max="9" width="16.5703125" style="5" customWidth="1"/>
    <col min="10" max="10" width="0.85546875" style="2" customWidth="1"/>
    <col min="11" max="16384" width="9.140625" style="2"/>
  </cols>
  <sheetData>
    <row r="1" spans="1:10" ht="9.9499999999999993" customHeight="1">
      <c r="B1" s="3" t="s">
        <v>224</v>
      </c>
    </row>
    <row r="2" spans="1:10" s="30" customFormat="1" ht="12.95" customHeight="1">
      <c r="B2" s="27"/>
      <c r="C2" s="27"/>
      <c r="D2" s="29"/>
      <c r="E2" s="28"/>
      <c r="F2" s="29"/>
      <c r="I2" s="199" t="s">
        <v>188</v>
      </c>
      <c r="J2" s="29"/>
    </row>
    <row r="3" spans="1:10" s="30" customFormat="1" ht="12.95" customHeight="1">
      <c r="B3" s="27"/>
      <c r="C3" s="27"/>
      <c r="D3" s="29"/>
      <c r="E3" s="28"/>
      <c r="F3" s="29"/>
      <c r="I3" s="75" t="s">
        <v>189</v>
      </c>
      <c r="J3" s="29"/>
    </row>
    <row r="4" spans="1:10" s="30" customFormat="1" ht="12" customHeight="1">
      <c r="B4" s="27"/>
      <c r="C4" s="27"/>
      <c r="D4" s="29"/>
      <c r="E4" s="28"/>
      <c r="F4" s="29"/>
      <c r="G4" s="75"/>
      <c r="J4" s="29"/>
    </row>
    <row r="5" spans="1:10" s="30" customFormat="1" ht="12" customHeight="1">
      <c r="B5" s="27"/>
      <c r="C5" s="27"/>
      <c r="D5" s="29"/>
      <c r="E5" s="28"/>
      <c r="F5" s="29"/>
      <c r="G5" s="75"/>
      <c r="J5" s="29"/>
    </row>
    <row r="6" spans="1:10" s="55" customFormat="1" ht="9.75" customHeight="1">
      <c r="B6" s="124"/>
      <c r="C6" s="124"/>
      <c r="D6" s="265"/>
      <c r="E6" s="266"/>
      <c r="F6" s="265"/>
      <c r="G6" s="265"/>
      <c r="H6" s="267"/>
      <c r="I6" s="265"/>
      <c r="J6" s="123"/>
    </row>
    <row r="7" spans="1:10" s="55" customFormat="1" ht="15" customHeight="1">
      <c r="B7" s="88" t="s">
        <v>225</v>
      </c>
      <c r="C7" s="71" t="s">
        <v>230</v>
      </c>
      <c r="D7" s="124"/>
      <c r="E7" s="71"/>
      <c r="F7" s="71"/>
      <c r="G7" s="71"/>
      <c r="H7" s="71"/>
      <c r="I7" s="71"/>
      <c r="J7" s="71"/>
    </row>
    <row r="8" spans="1:10" s="72" customFormat="1" ht="15" customHeight="1">
      <c r="B8" s="89" t="s">
        <v>227</v>
      </c>
      <c r="C8" s="74" t="s">
        <v>231</v>
      </c>
      <c r="E8" s="74"/>
      <c r="F8" s="74"/>
      <c r="G8" s="74"/>
      <c r="H8" s="74"/>
      <c r="I8" s="74"/>
      <c r="J8" s="74"/>
    </row>
    <row r="9" spans="1:10" s="55" customFormat="1" ht="6.75" customHeight="1" thickBot="1">
      <c r="B9" s="124"/>
      <c r="C9" s="124"/>
      <c r="D9" s="124"/>
      <c r="E9" s="70"/>
      <c r="F9" s="123"/>
      <c r="G9" s="123"/>
      <c r="H9" s="123"/>
      <c r="I9" s="265"/>
    </row>
    <row r="10" spans="1:10" s="55" customFormat="1" ht="9.9499999999999993" customHeight="1" thickTop="1">
      <c r="A10" s="268"/>
      <c r="B10" s="269"/>
      <c r="C10" s="269"/>
      <c r="D10" s="270"/>
      <c r="E10" s="271"/>
      <c r="F10" s="272"/>
      <c r="G10" s="272"/>
      <c r="H10" s="272"/>
      <c r="I10" s="273"/>
      <c r="J10" s="268"/>
    </row>
    <row r="11" spans="1:10" s="55" customFormat="1" ht="21" customHeight="1">
      <c r="A11" s="249"/>
      <c r="B11" s="274" t="s">
        <v>229</v>
      </c>
      <c r="C11" s="274"/>
      <c r="D11" s="253" t="s">
        <v>100</v>
      </c>
      <c r="E11" s="253" t="s">
        <v>95</v>
      </c>
      <c r="F11" s="275" t="s">
        <v>207</v>
      </c>
      <c r="G11" s="275" t="s">
        <v>208</v>
      </c>
      <c r="H11" s="275" t="s">
        <v>209</v>
      </c>
      <c r="I11" s="275" t="s">
        <v>210</v>
      </c>
      <c r="J11" s="276"/>
    </row>
    <row r="12" spans="1:10" s="55" customFormat="1" ht="15.75" customHeight="1">
      <c r="A12" s="277"/>
      <c r="B12" s="278"/>
      <c r="C12" s="278"/>
      <c r="D12" s="259"/>
      <c r="E12" s="259"/>
      <c r="F12" s="279"/>
      <c r="G12" s="279"/>
      <c r="H12" s="279"/>
      <c r="I12" s="279"/>
      <c r="J12" s="56"/>
    </row>
    <row r="13" spans="1:10" s="55" customFormat="1" ht="6" customHeight="1">
      <c r="A13" s="125"/>
      <c r="B13" s="243"/>
      <c r="C13" s="243"/>
      <c r="D13" s="99"/>
      <c r="E13" s="99"/>
      <c r="F13" s="280"/>
      <c r="G13" s="280"/>
      <c r="H13" s="280"/>
      <c r="I13" s="280"/>
      <c r="J13" s="95"/>
    </row>
    <row r="14" spans="1:10" s="115" customFormat="1" ht="15" customHeight="1">
      <c r="A14" s="298"/>
      <c r="B14" s="133" t="s">
        <v>233</v>
      </c>
      <c r="C14" s="133"/>
      <c r="D14" s="69"/>
      <c r="E14" s="174"/>
      <c r="F14" s="174"/>
      <c r="G14" s="174"/>
      <c r="H14" s="174"/>
      <c r="I14" s="174"/>
    </row>
    <row r="15" spans="1:10" s="125" customFormat="1" ht="15" customHeight="1">
      <c r="A15" s="298"/>
      <c r="B15" s="91"/>
      <c r="C15" s="91"/>
      <c r="D15" s="69"/>
      <c r="E15" s="175"/>
      <c r="F15" s="175"/>
      <c r="G15" s="175"/>
      <c r="H15" s="175"/>
      <c r="I15" s="175"/>
    </row>
    <row r="16" spans="1:10" s="125" customFormat="1" ht="15" customHeight="1">
      <c r="A16" s="298"/>
      <c r="B16" s="91" t="s">
        <v>138</v>
      </c>
      <c r="C16" s="91"/>
      <c r="D16" s="170">
        <v>2015</v>
      </c>
      <c r="E16" s="175">
        <f>SUM(F16:I16)</f>
        <v>46</v>
      </c>
      <c r="F16" s="175">
        <v>2</v>
      </c>
      <c r="G16" s="175">
        <v>11</v>
      </c>
      <c r="H16" s="175">
        <v>25</v>
      </c>
      <c r="I16" s="175">
        <v>8</v>
      </c>
    </row>
    <row r="17" spans="1:9" s="125" customFormat="1" ht="15" customHeight="1">
      <c r="A17" s="298"/>
      <c r="B17" s="91"/>
      <c r="C17" s="91"/>
      <c r="D17" s="170">
        <v>2016</v>
      </c>
      <c r="E17" s="175">
        <f>SUM(F17:I17)</f>
        <v>45</v>
      </c>
      <c r="F17" s="175">
        <v>3</v>
      </c>
      <c r="G17" s="175">
        <v>3</v>
      </c>
      <c r="H17" s="175">
        <v>23</v>
      </c>
      <c r="I17" s="175">
        <v>16</v>
      </c>
    </row>
    <row r="18" spans="1:9" s="125" customFormat="1" ht="15" customHeight="1">
      <c r="A18" s="298"/>
      <c r="B18" s="91"/>
      <c r="C18" s="91"/>
      <c r="D18" s="170">
        <v>2017</v>
      </c>
      <c r="E18" s="175">
        <f>SUM(F18:I18)</f>
        <v>45</v>
      </c>
      <c r="F18" s="175">
        <v>1</v>
      </c>
      <c r="G18" s="175">
        <v>4</v>
      </c>
      <c r="H18" s="175">
        <v>21</v>
      </c>
      <c r="I18" s="175">
        <v>19</v>
      </c>
    </row>
    <row r="19" spans="1:9" s="125" customFormat="1" ht="15" customHeight="1">
      <c r="A19" s="298"/>
      <c r="B19" s="91"/>
      <c r="C19" s="91"/>
      <c r="D19" s="170"/>
      <c r="E19" s="175"/>
      <c r="F19" s="175"/>
      <c r="G19" s="175"/>
      <c r="H19" s="175"/>
      <c r="I19" s="175"/>
    </row>
    <row r="20" spans="1:9" s="55" customFormat="1" ht="15" customHeight="1">
      <c r="A20" s="298"/>
      <c r="B20" s="91" t="s">
        <v>139</v>
      </c>
      <c r="C20" s="91"/>
      <c r="D20" s="170">
        <v>2015</v>
      </c>
      <c r="E20" s="175">
        <f>SUM(F20:I20)</f>
        <v>203</v>
      </c>
      <c r="F20" s="175">
        <v>2</v>
      </c>
      <c r="G20" s="175">
        <v>17</v>
      </c>
      <c r="H20" s="175">
        <v>106</v>
      </c>
      <c r="I20" s="175">
        <v>78</v>
      </c>
    </row>
    <row r="21" spans="1:9" s="55" customFormat="1" ht="15" customHeight="1">
      <c r="A21" s="298"/>
      <c r="B21" s="91"/>
      <c r="C21" s="91"/>
      <c r="D21" s="170">
        <v>2016</v>
      </c>
      <c r="E21" s="175">
        <f>SUM(F21:I21)</f>
        <v>203</v>
      </c>
      <c r="F21" s="175">
        <v>1</v>
      </c>
      <c r="G21" s="175">
        <v>12</v>
      </c>
      <c r="H21" s="175">
        <v>115</v>
      </c>
      <c r="I21" s="175">
        <v>75</v>
      </c>
    </row>
    <row r="22" spans="1:9" s="55" customFormat="1" ht="15" customHeight="1">
      <c r="A22" s="298"/>
      <c r="B22" s="91"/>
      <c r="C22" s="91"/>
      <c r="D22" s="170">
        <v>2017</v>
      </c>
      <c r="E22" s="175">
        <f>SUM(F22:I22)</f>
        <v>180</v>
      </c>
      <c r="F22" s="175">
        <v>2</v>
      </c>
      <c r="G22" s="175">
        <v>15</v>
      </c>
      <c r="H22" s="175">
        <v>83</v>
      </c>
      <c r="I22" s="175">
        <v>80</v>
      </c>
    </row>
    <row r="23" spans="1:9" s="55" customFormat="1" ht="15" customHeight="1">
      <c r="A23" s="298"/>
      <c r="B23" s="91"/>
      <c r="C23" s="91"/>
      <c r="D23" s="170"/>
      <c r="E23" s="175"/>
      <c r="F23" s="175"/>
      <c r="G23" s="175"/>
      <c r="H23" s="175"/>
      <c r="I23" s="175"/>
    </row>
    <row r="24" spans="1:9" s="55" customFormat="1" ht="15" customHeight="1">
      <c r="A24" s="298"/>
      <c r="B24" s="91" t="s">
        <v>140</v>
      </c>
      <c r="C24" s="91"/>
      <c r="D24" s="170">
        <v>2015</v>
      </c>
      <c r="E24" s="175">
        <f>SUM(F24:I24)</f>
        <v>8</v>
      </c>
      <c r="F24" s="175">
        <v>1</v>
      </c>
      <c r="G24" s="175">
        <v>1</v>
      </c>
      <c r="H24" s="175" t="s">
        <v>51</v>
      </c>
      <c r="I24" s="175">
        <v>6</v>
      </c>
    </row>
    <row r="25" spans="1:9" s="55" customFormat="1" ht="15" customHeight="1">
      <c r="A25" s="298"/>
      <c r="B25" s="91"/>
      <c r="C25" s="91"/>
      <c r="D25" s="170">
        <v>2016</v>
      </c>
      <c r="E25" s="175">
        <f>SUM(F25:I25)</f>
        <v>8</v>
      </c>
      <c r="F25" s="175" t="s">
        <v>51</v>
      </c>
      <c r="G25" s="175">
        <v>2</v>
      </c>
      <c r="H25" s="175">
        <v>3</v>
      </c>
      <c r="I25" s="175">
        <v>3</v>
      </c>
    </row>
    <row r="26" spans="1:9" s="55" customFormat="1" ht="15" customHeight="1">
      <c r="A26" s="298"/>
      <c r="B26" s="91"/>
      <c r="C26" s="91"/>
      <c r="D26" s="170">
        <v>2017</v>
      </c>
      <c r="E26" s="175">
        <f>SUM(F26:I26)</f>
        <v>4</v>
      </c>
      <c r="F26" s="173" t="s">
        <v>51</v>
      </c>
      <c r="G26" s="175">
        <v>1</v>
      </c>
      <c r="H26" s="175">
        <v>1</v>
      </c>
      <c r="I26" s="175">
        <v>2</v>
      </c>
    </row>
    <row r="27" spans="1:9" s="55" customFormat="1" ht="15" customHeight="1">
      <c r="A27" s="298"/>
      <c r="B27" s="91"/>
      <c r="C27" s="91"/>
      <c r="D27" s="170"/>
      <c r="E27" s="175"/>
      <c r="F27" s="175"/>
      <c r="G27" s="175"/>
      <c r="H27" s="175"/>
      <c r="I27" s="175"/>
    </row>
    <row r="28" spans="1:9" s="55" customFormat="1" ht="15" customHeight="1">
      <c r="A28" s="298"/>
      <c r="B28" s="91" t="s">
        <v>141</v>
      </c>
      <c r="C28" s="91"/>
      <c r="D28" s="170">
        <v>2015</v>
      </c>
      <c r="E28" s="175">
        <f>SUM(F28:I28)</f>
        <v>15</v>
      </c>
      <c r="F28" s="175" t="s">
        <v>51</v>
      </c>
      <c r="G28" s="175">
        <v>5</v>
      </c>
      <c r="H28" s="175">
        <v>1</v>
      </c>
      <c r="I28" s="175">
        <v>9</v>
      </c>
    </row>
    <row r="29" spans="1:9" s="55" customFormat="1" ht="15" customHeight="1">
      <c r="A29" s="298"/>
      <c r="B29" s="91"/>
      <c r="C29" s="91"/>
      <c r="D29" s="170">
        <v>2016</v>
      </c>
      <c r="E29" s="175">
        <f>SUM(F29:I29)</f>
        <v>18</v>
      </c>
      <c r="F29" s="175" t="s">
        <v>51</v>
      </c>
      <c r="G29" s="175">
        <v>5</v>
      </c>
      <c r="H29" s="175">
        <v>2</v>
      </c>
      <c r="I29" s="175">
        <v>11</v>
      </c>
    </row>
    <row r="30" spans="1:9" s="55" customFormat="1" ht="15" customHeight="1">
      <c r="A30" s="298"/>
      <c r="B30" s="91"/>
      <c r="C30" s="91"/>
      <c r="D30" s="170">
        <v>2017</v>
      </c>
      <c r="E30" s="175">
        <f>SUM(F30:I30)</f>
        <v>15</v>
      </c>
      <c r="F30" s="175">
        <v>1</v>
      </c>
      <c r="G30" s="175">
        <v>5</v>
      </c>
      <c r="H30" s="175">
        <v>1</v>
      </c>
      <c r="I30" s="175">
        <v>8</v>
      </c>
    </row>
    <row r="31" spans="1:9" s="55" customFormat="1" ht="15" customHeight="1">
      <c r="A31" s="298"/>
      <c r="B31" s="91"/>
      <c r="C31" s="91"/>
      <c r="D31" s="170"/>
      <c r="E31" s="175"/>
      <c r="F31" s="175"/>
      <c r="G31" s="175"/>
      <c r="H31" s="175"/>
      <c r="I31" s="175"/>
    </row>
    <row r="32" spans="1:9" s="55" customFormat="1" ht="15" customHeight="1">
      <c r="A32" s="298"/>
      <c r="B32" s="91" t="s">
        <v>142</v>
      </c>
      <c r="C32" s="91"/>
      <c r="D32" s="170">
        <v>2015</v>
      </c>
      <c r="E32" s="175">
        <f>SUM(F32:I32)</f>
        <v>5</v>
      </c>
      <c r="F32" s="175" t="s">
        <v>51</v>
      </c>
      <c r="G32" s="175">
        <v>1</v>
      </c>
      <c r="H32" s="175">
        <v>1</v>
      </c>
      <c r="I32" s="175">
        <v>3</v>
      </c>
    </row>
    <row r="33" spans="1:9" s="55" customFormat="1" ht="15" customHeight="1">
      <c r="A33" s="298"/>
      <c r="B33" s="91"/>
      <c r="C33" s="91"/>
      <c r="D33" s="170">
        <v>2016</v>
      </c>
      <c r="E33" s="175">
        <f>SUM(F33:I33)</f>
        <v>6</v>
      </c>
      <c r="F33" s="175" t="s">
        <v>51</v>
      </c>
      <c r="G33" s="175" t="s">
        <v>51</v>
      </c>
      <c r="H33" s="175">
        <v>1</v>
      </c>
      <c r="I33" s="175">
        <v>5</v>
      </c>
    </row>
    <row r="34" spans="1:9" s="55" customFormat="1" ht="15" customHeight="1">
      <c r="A34" s="298"/>
      <c r="B34" s="91"/>
      <c r="C34" s="91"/>
      <c r="D34" s="170">
        <v>2017</v>
      </c>
      <c r="E34" s="175">
        <f>SUM(F34:I34)</f>
        <v>2</v>
      </c>
      <c r="F34" s="173" t="s">
        <v>51</v>
      </c>
      <c r="G34" s="175">
        <v>1</v>
      </c>
      <c r="H34" s="173" t="s">
        <v>51</v>
      </c>
      <c r="I34" s="175">
        <v>1</v>
      </c>
    </row>
    <row r="35" spans="1:9" s="55" customFormat="1" ht="15" customHeight="1">
      <c r="A35" s="298"/>
      <c r="B35" s="91"/>
      <c r="C35" s="91"/>
      <c r="D35" s="170"/>
      <c r="E35" s="175"/>
      <c r="F35" s="175"/>
      <c r="G35" s="175"/>
      <c r="H35" s="175"/>
      <c r="I35" s="175"/>
    </row>
    <row r="36" spans="1:9" s="55" customFormat="1" ht="15" customHeight="1">
      <c r="A36" s="298"/>
      <c r="B36" s="91" t="s">
        <v>143</v>
      </c>
      <c r="C36" s="91"/>
      <c r="D36" s="170">
        <v>2015</v>
      </c>
      <c r="E36" s="175">
        <f>SUM(F36:I36)</f>
        <v>11</v>
      </c>
      <c r="F36" s="175">
        <v>1</v>
      </c>
      <c r="G36" s="175">
        <v>4</v>
      </c>
      <c r="H36" s="175">
        <v>3</v>
      </c>
      <c r="I36" s="175">
        <v>3</v>
      </c>
    </row>
    <row r="37" spans="1:9" s="55" customFormat="1" ht="15" customHeight="1">
      <c r="A37" s="298"/>
      <c r="B37" s="91"/>
      <c r="C37" s="91"/>
      <c r="D37" s="170">
        <v>2016</v>
      </c>
      <c r="E37" s="175">
        <f>SUM(F37:I37)</f>
        <v>15</v>
      </c>
      <c r="F37" s="175" t="s">
        <v>51</v>
      </c>
      <c r="G37" s="175">
        <v>1</v>
      </c>
      <c r="H37" s="175">
        <v>8</v>
      </c>
      <c r="I37" s="175">
        <v>6</v>
      </c>
    </row>
    <row r="38" spans="1:9" s="55" customFormat="1" ht="15" customHeight="1">
      <c r="A38" s="298"/>
      <c r="B38" s="91"/>
      <c r="C38" s="91"/>
      <c r="D38" s="170">
        <v>2017</v>
      </c>
      <c r="E38" s="175">
        <f>SUM(F38:I38)</f>
        <v>7</v>
      </c>
      <c r="F38" s="173" t="s">
        <v>51</v>
      </c>
      <c r="G38" s="173" t="s">
        <v>51</v>
      </c>
      <c r="H38" s="175">
        <v>2</v>
      </c>
      <c r="I38" s="175">
        <v>5</v>
      </c>
    </row>
    <row r="39" spans="1:9" s="55" customFormat="1" ht="15" customHeight="1">
      <c r="A39" s="298"/>
      <c r="B39" s="91"/>
      <c r="C39" s="91"/>
      <c r="D39" s="170"/>
      <c r="E39" s="175"/>
      <c r="F39" s="175"/>
      <c r="G39" s="175"/>
      <c r="H39" s="175"/>
      <c r="I39" s="175"/>
    </row>
    <row r="40" spans="1:9" s="55" customFormat="1" ht="15" customHeight="1">
      <c r="A40" s="298"/>
      <c r="B40" s="91" t="s">
        <v>144</v>
      </c>
      <c r="C40" s="91"/>
      <c r="D40" s="170">
        <v>2015</v>
      </c>
      <c r="E40" s="175">
        <f>SUM(F40:I40)</f>
        <v>16</v>
      </c>
      <c r="F40" s="175">
        <v>2</v>
      </c>
      <c r="G40" s="175">
        <v>8</v>
      </c>
      <c r="H40" s="175" t="s">
        <v>51</v>
      </c>
      <c r="I40" s="175">
        <v>6</v>
      </c>
    </row>
    <row r="41" spans="1:9" s="55" customFormat="1" ht="15" customHeight="1">
      <c r="A41" s="298"/>
      <c r="B41" s="91"/>
      <c r="C41" s="91"/>
      <c r="D41" s="170">
        <v>2016</v>
      </c>
      <c r="E41" s="175">
        <f>SUM(F41:I41)</f>
        <v>26</v>
      </c>
      <c r="F41" s="175">
        <v>1</v>
      </c>
      <c r="G41" s="175">
        <v>4</v>
      </c>
      <c r="H41" s="175">
        <v>1</v>
      </c>
      <c r="I41" s="175">
        <v>20</v>
      </c>
    </row>
    <row r="42" spans="1:9" s="55" customFormat="1" ht="15" customHeight="1">
      <c r="A42" s="298"/>
      <c r="B42" s="91"/>
      <c r="C42" s="91"/>
      <c r="D42" s="170">
        <v>2017</v>
      </c>
      <c r="E42" s="175">
        <f>SUM(F42:I42)</f>
        <v>21</v>
      </c>
      <c r="F42" s="173" t="s">
        <v>51</v>
      </c>
      <c r="G42" s="175">
        <v>4</v>
      </c>
      <c r="H42" s="175">
        <v>1</v>
      </c>
      <c r="I42" s="175">
        <v>16</v>
      </c>
    </row>
    <row r="43" spans="1:9" s="55" customFormat="1" ht="15" customHeight="1">
      <c r="A43" s="298"/>
      <c r="B43" s="91"/>
      <c r="C43" s="91"/>
      <c r="D43" s="170"/>
      <c r="E43" s="175"/>
      <c r="F43" s="175"/>
      <c r="G43" s="175"/>
      <c r="H43" s="175"/>
      <c r="I43" s="175"/>
    </row>
    <row r="44" spans="1:9" s="55" customFormat="1" ht="15" customHeight="1">
      <c r="A44" s="298"/>
      <c r="B44" s="91" t="s">
        <v>145</v>
      </c>
      <c r="C44" s="91"/>
      <c r="D44" s="170">
        <v>2015</v>
      </c>
      <c r="E44" s="175">
        <f>SUM(F44:I44)</f>
        <v>8</v>
      </c>
      <c r="F44" s="175">
        <v>1</v>
      </c>
      <c r="G44" s="175">
        <v>1</v>
      </c>
      <c r="H44" s="175">
        <v>1</v>
      </c>
      <c r="I44" s="175">
        <v>5</v>
      </c>
    </row>
    <row r="45" spans="1:9" s="55" customFormat="1" ht="15" customHeight="1">
      <c r="A45" s="298"/>
      <c r="B45" s="91"/>
      <c r="C45" s="91"/>
      <c r="D45" s="170">
        <v>2016</v>
      </c>
      <c r="E45" s="175">
        <f>SUM(F45:I45)</f>
        <v>8</v>
      </c>
      <c r="F45" s="175">
        <v>1</v>
      </c>
      <c r="G45" s="175">
        <v>3</v>
      </c>
      <c r="H45" s="175">
        <v>1</v>
      </c>
      <c r="I45" s="175">
        <v>3</v>
      </c>
    </row>
    <row r="46" spans="1:9" s="55" customFormat="1" ht="15" customHeight="1">
      <c r="A46" s="298"/>
      <c r="B46" s="91"/>
      <c r="C46" s="91"/>
      <c r="D46" s="170">
        <v>2017</v>
      </c>
      <c r="E46" s="175">
        <f>SUM(F46:I46)</f>
        <v>3</v>
      </c>
      <c r="F46" s="173" t="s">
        <v>51</v>
      </c>
      <c r="G46" s="175">
        <v>1</v>
      </c>
      <c r="H46" s="175">
        <v>1</v>
      </c>
      <c r="I46" s="175">
        <v>1</v>
      </c>
    </row>
    <row r="47" spans="1:9" s="55" customFormat="1" ht="15" customHeight="1">
      <c r="A47" s="298"/>
      <c r="B47" s="91"/>
      <c r="C47" s="91"/>
      <c r="D47" s="170"/>
      <c r="E47" s="175"/>
      <c r="F47" s="175"/>
      <c r="G47" s="175"/>
      <c r="H47" s="175"/>
      <c r="I47" s="175"/>
    </row>
    <row r="48" spans="1:9" s="55" customFormat="1" ht="15" customHeight="1">
      <c r="A48" s="298"/>
      <c r="B48" s="91" t="s">
        <v>146</v>
      </c>
      <c r="C48" s="91"/>
      <c r="D48" s="170">
        <v>2015</v>
      </c>
      <c r="E48" s="175">
        <f>SUM(F48:I48)</f>
        <v>9</v>
      </c>
      <c r="F48" s="175" t="s">
        <v>51</v>
      </c>
      <c r="G48" s="175" t="s">
        <v>51</v>
      </c>
      <c r="H48" s="175">
        <v>6</v>
      </c>
      <c r="I48" s="175">
        <v>3</v>
      </c>
    </row>
    <row r="49" spans="1:10" s="55" customFormat="1" ht="15" customHeight="1">
      <c r="A49" s="298"/>
      <c r="B49" s="91"/>
      <c r="C49" s="91"/>
      <c r="D49" s="170">
        <v>2016</v>
      </c>
      <c r="E49" s="175">
        <f>SUM(F49:I49)</f>
        <v>7</v>
      </c>
      <c r="F49" s="175" t="s">
        <v>51</v>
      </c>
      <c r="G49" s="175">
        <v>1</v>
      </c>
      <c r="H49" s="175">
        <v>3</v>
      </c>
      <c r="I49" s="175">
        <v>3</v>
      </c>
    </row>
    <row r="50" spans="1:10" s="55" customFormat="1" ht="15" customHeight="1">
      <c r="A50" s="298"/>
      <c r="B50" s="91"/>
      <c r="C50" s="91"/>
      <c r="D50" s="170">
        <v>2017</v>
      </c>
      <c r="E50" s="175">
        <f>SUM(F50:I50)</f>
        <v>7</v>
      </c>
      <c r="F50" s="175">
        <v>1</v>
      </c>
      <c r="G50" s="175">
        <v>1</v>
      </c>
      <c r="H50" s="173" t="s">
        <v>51</v>
      </c>
      <c r="I50" s="175">
        <v>5</v>
      </c>
    </row>
    <row r="51" spans="1:10" s="55" customFormat="1" ht="15" customHeight="1">
      <c r="A51" s="298"/>
      <c r="B51" s="91"/>
      <c r="C51" s="91"/>
      <c r="D51" s="170"/>
      <c r="E51" s="175"/>
      <c r="F51" s="175"/>
      <c r="G51" s="175"/>
      <c r="H51" s="175"/>
      <c r="I51" s="175"/>
    </row>
    <row r="52" spans="1:10" s="55" customFormat="1" ht="15" customHeight="1">
      <c r="A52" s="298"/>
      <c r="B52" s="91" t="s">
        <v>147</v>
      </c>
      <c r="C52" s="91"/>
      <c r="D52" s="170">
        <v>2015</v>
      </c>
      <c r="E52" s="175">
        <f>SUM(F52:I52)</f>
        <v>156</v>
      </c>
      <c r="F52" s="175">
        <v>9</v>
      </c>
      <c r="G52" s="175">
        <v>26</v>
      </c>
      <c r="H52" s="175">
        <v>73</v>
      </c>
      <c r="I52" s="175">
        <v>48</v>
      </c>
    </row>
    <row r="53" spans="1:10" s="55" customFormat="1" ht="15" customHeight="1">
      <c r="A53" s="298"/>
      <c r="B53" s="91"/>
      <c r="C53" s="91"/>
      <c r="D53" s="170">
        <v>2016</v>
      </c>
      <c r="E53" s="175">
        <f>SUM(F53:I53)</f>
        <v>187</v>
      </c>
      <c r="F53" s="175">
        <v>2</v>
      </c>
      <c r="G53" s="175">
        <v>18</v>
      </c>
      <c r="H53" s="175">
        <v>83</v>
      </c>
      <c r="I53" s="175">
        <v>84</v>
      </c>
    </row>
    <row r="54" spans="1:10" s="55" customFormat="1" ht="15" customHeight="1">
      <c r="A54" s="298"/>
      <c r="B54" s="91"/>
      <c r="C54" s="91"/>
      <c r="D54" s="170">
        <v>2017</v>
      </c>
      <c r="E54" s="175">
        <f>SUM(F54:I54)</f>
        <v>163</v>
      </c>
      <c r="F54" s="175">
        <v>7</v>
      </c>
      <c r="G54" s="175">
        <v>27</v>
      </c>
      <c r="H54" s="175">
        <v>68</v>
      </c>
      <c r="I54" s="175">
        <v>61</v>
      </c>
    </row>
    <row r="55" spans="1:10" s="55" customFormat="1" ht="8.1" customHeight="1" thickBot="1">
      <c r="A55" s="283"/>
      <c r="B55" s="284"/>
      <c r="C55" s="284"/>
      <c r="D55" s="284"/>
      <c r="E55" s="285"/>
      <c r="F55" s="286"/>
      <c r="G55" s="286"/>
      <c r="H55" s="286"/>
      <c r="I55" s="287"/>
      <c r="J55" s="283"/>
    </row>
    <row r="56" spans="1:10" s="55" customFormat="1" ht="12.75">
      <c r="B56" s="124"/>
      <c r="C56" s="124"/>
      <c r="D56" s="124"/>
      <c r="E56" s="70"/>
      <c r="F56" s="123"/>
      <c r="G56" s="123"/>
      <c r="H56" s="123"/>
      <c r="I56" s="265"/>
      <c r="J56" s="8" t="s">
        <v>104</v>
      </c>
    </row>
    <row r="57" spans="1:10" s="55" customFormat="1" ht="12.75">
      <c r="B57" s="124"/>
      <c r="C57" s="124"/>
      <c r="D57" s="124"/>
      <c r="E57" s="70"/>
      <c r="F57" s="123"/>
      <c r="G57" s="123"/>
      <c r="H57" s="123"/>
      <c r="I57" s="265"/>
      <c r="J57" s="41" t="s">
        <v>1</v>
      </c>
    </row>
    <row r="58" spans="1:10" s="55" customFormat="1" ht="12.75">
      <c r="B58" s="124"/>
      <c r="C58" s="124"/>
      <c r="D58" s="124"/>
      <c r="E58" s="70"/>
      <c r="F58" s="123"/>
      <c r="G58" s="123"/>
      <c r="H58" s="123"/>
      <c r="I58" s="265"/>
    </row>
    <row r="59" spans="1:10" s="55" customFormat="1" ht="12.75">
      <c r="B59" s="124"/>
      <c r="C59" s="124"/>
      <c r="D59" s="124"/>
      <c r="E59" s="70"/>
      <c r="F59" s="123"/>
      <c r="G59" s="123"/>
      <c r="H59" s="123"/>
      <c r="I59" s="265"/>
    </row>
    <row r="60" spans="1:10" s="55" customFormat="1" ht="12.75">
      <c r="B60" s="124"/>
      <c r="C60" s="124"/>
      <c r="D60" s="124"/>
      <c r="E60" s="70"/>
      <c r="F60" s="123"/>
      <c r="G60" s="123"/>
      <c r="H60" s="123"/>
      <c r="I60" s="265"/>
    </row>
    <row r="61" spans="1:10" s="55" customFormat="1" ht="12.75">
      <c r="B61" s="124"/>
      <c r="C61" s="124"/>
      <c r="D61" s="124"/>
      <c r="E61" s="70"/>
      <c r="F61" s="123"/>
      <c r="G61" s="123"/>
      <c r="H61" s="123"/>
      <c r="I61" s="265"/>
    </row>
    <row r="62" spans="1:10" s="55" customFormat="1" ht="12.75">
      <c r="B62" s="124"/>
      <c r="C62" s="124"/>
      <c r="D62" s="124"/>
      <c r="E62" s="70"/>
      <c r="F62" s="123"/>
      <c r="G62" s="123"/>
      <c r="H62" s="123"/>
      <c r="I62" s="265"/>
    </row>
    <row r="63" spans="1:10" s="55" customFormat="1" ht="12.75">
      <c r="B63" s="124"/>
      <c r="C63" s="124"/>
      <c r="D63" s="124"/>
      <c r="E63" s="70"/>
      <c r="F63" s="123"/>
      <c r="G63" s="123"/>
      <c r="H63" s="123"/>
      <c r="I63" s="265"/>
    </row>
    <row r="64" spans="1:10" s="55" customFormat="1" ht="12.75">
      <c r="B64" s="124"/>
      <c r="C64" s="124"/>
      <c r="D64" s="124"/>
      <c r="E64" s="70"/>
      <c r="F64" s="123"/>
      <c r="G64" s="123"/>
      <c r="H64" s="123"/>
      <c r="I64" s="265"/>
    </row>
    <row r="65" spans="2:9" s="55" customFormat="1" ht="12.75">
      <c r="B65" s="124"/>
      <c r="C65" s="124"/>
      <c r="D65" s="124"/>
      <c r="E65" s="70"/>
      <c r="F65" s="123"/>
      <c r="G65" s="123"/>
      <c r="H65" s="123"/>
      <c r="I65" s="265"/>
    </row>
    <row r="66" spans="2:9" s="55" customFormat="1" ht="12.75">
      <c r="B66" s="124"/>
      <c r="C66" s="124"/>
      <c r="D66" s="124"/>
      <c r="E66" s="70"/>
      <c r="F66" s="123"/>
      <c r="G66" s="123"/>
      <c r="H66" s="123"/>
      <c r="I66" s="265"/>
    </row>
    <row r="67" spans="2:9" s="55" customFormat="1" ht="12.75">
      <c r="B67" s="124"/>
      <c r="C67" s="124"/>
      <c r="D67" s="124"/>
      <c r="E67" s="70"/>
      <c r="F67" s="123"/>
      <c r="G67" s="123"/>
      <c r="H67" s="123"/>
      <c r="I67" s="265"/>
    </row>
    <row r="68" spans="2:9" s="55" customFormat="1" ht="12.75">
      <c r="B68" s="124"/>
      <c r="C68" s="124"/>
      <c r="D68" s="124"/>
      <c r="E68" s="70"/>
      <c r="F68" s="123"/>
      <c r="G68" s="123"/>
      <c r="H68" s="123"/>
      <c r="I68" s="265"/>
    </row>
    <row r="69" spans="2:9" s="55" customFormat="1" ht="12.75">
      <c r="B69" s="124"/>
      <c r="C69" s="124"/>
      <c r="D69" s="124"/>
      <c r="E69" s="70"/>
      <c r="F69" s="123"/>
      <c r="G69" s="123"/>
      <c r="H69" s="123"/>
      <c r="I69" s="265"/>
    </row>
    <row r="70" spans="2:9" s="55" customFormat="1" ht="12.75">
      <c r="B70" s="124"/>
      <c r="C70" s="124"/>
      <c r="D70" s="124"/>
      <c r="E70" s="70"/>
      <c r="F70" s="123"/>
      <c r="G70" s="123"/>
      <c r="H70" s="123"/>
      <c r="I70" s="265"/>
    </row>
    <row r="71" spans="2:9" s="55" customFormat="1" ht="12.75">
      <c r="B71" s="124"/>
      <c r="C71" s="124"/>
      <c r="D71" s="124"/>
      <c r="E71" s="70"/>
      <c r="F71" s="123"/>
      <c r="G71" s="123"/>
      <c r="H71" s="123"/>
      <c r="I71" s="265"/>
    </row>
    <row r="72" spans="2:9" s="55" customFormat="1" ht="12.75">
      <c r="B72" s="124"/>
      <c r="C72" s="124"/>
      <c r="D72" s="124"/>
      <c r="E72" s="70"/>
      <c r="F72" s="123"/>
      <c r="G72" s="123"/>
      <c r="H72" s="123"/>
      <c r="I72" s="265"/>
    </row>
    <row r="73" spans="2:9" s="55" customFormat="1" ht="12.75">
      <c r="B73" s="124"/>
      <c r="C73" s="124"/>
      <c r="D73" s="124"/>
      <c r="E73" s="70"/>
      <c r="F73" s="123"/>
      <c r="G73" s="123"/>
      <c r="H73" s="123"/>
      <c r="I73" s="265"/>
    </row>
    <row r="74" spans="2:9" s="55" customFormat="1" ht="12.75">
      <c r="B74" s="124"/>
      <c r="C74" s="124"/>
      <c r="D74" s="124"/>
      <c r="E74" s="70"/>
      <c r="F74" s="123"/>
      <c r="G74" s="123"/>
      <c r="H74" s="123"/>
      <c r="I74" s="265"/>
    </row>
    <row r="75" spans="2:9" s="55" customFormat="1" ht="12.75">
      <c r="B75" s="124"/>
      <c r="C75" s="124"/>
      <c r="D75" s="124"/>
      <c r="E75" s="70"/>
      <c r="F75" s="123"/>
      <c r="G75" s="123"/>
      <c r="H75" s="123"/>
      <c r="I75" s="265"/>
    </row>
    <row r="76" spans="2:9" s="55" customFormat="1" ht="12.75">
      <c r="B76" s="124"/>
      <c r="C76" s="124"/>
      <c r="D76" s="124"/>
      <c r="E76" s="70"/>
      <c r="F76" s="123"/>
      <c r="G76" s="123"/>
      <c r="H76" s="123"/>
      <c r="I76" s="265"/>
    </row>
    <row r="77" spans="2:9" s="55" customFormat="1" ht="12.75">
      <c r="B77" s="124"/>
      <c r="C77" s="124"/>
      <c r="D77" s="124"/>
      <c r="E77" s="70"/>
      <c r="F77" s="123"/>
      <c r="G77" s="123"/>
      <c r="H77" s="123"/>
      <c r="I77" s="265"/>
    </row>
    <row r="78" spans="2:9" s="55" customFormat="1" ht="12.75">
      <c r="B78" s="124"/>
      <c r="C78" s="124"/>
      <c r="D78" s="124"/>
      <c r="E78" s="70"/>
      <c r="F78" s="123"/>
      <c r="G78" s="123"/>
      <c r="H78" s="123"/>
      <c r="I78" s="265"/>
    </row>
    <row r="79" spans="2:9" s="55" customFormat="1" ht="12.75">
      <c r="B79" s="124"/>
      <c r="C79" s="124"/>
      <c r="D79" s="124"/>
      <c r="E79" s="70"/>
      <c r="F79" s="123"/>
      <c r="G79" s="123"/>
      <c r="H79" s="123"/>
      <c r="I79" s="265"/>
    </row>
    <row r="80" spans="2:9" s="55" customFormat="1" ht="12.75">
      <c r="B80" s="124"/>
      <c r="C80" s="124"/>
      <c r="D80" s="124"/>
      <c r="E80" s="70"/>
      <c r="F80" s="123"/>
      <c r="G80" s="123"/>
      <c r="H80" s="123"/>
      <c r="I80" s="265"/>
    </row>
  </sheetData>
  <mergeCells count="7">
    <mergeCell ref="I11:I12"/>
    <mergeCell ref="B11:C12"/>
    <mergeCell ref="D11:D12"/>
    <mergeCell ref="E11:E12"/>
    <mergeCell ref="F11:F12"/>
    <mergeCell ref="G11:G12"/>
    <mergeCell ref="H11:H12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5" fitToWidth="0" orientation="portrait" r:id="rId1"/>
  <headerFooter>
    <oddHeader xml:space="preserve">&amp;R&amp;"-,Bold"
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J57"/>
  <sheetViews>
    <sheetView showGridLines="0" zoomScaleNormal="100" zoomScaleSheetLayoutView="100" workbookViewId="0">
      <selection activeCell="O30" sqref="O30"/>
    </sheetView>
  </sheetViews>
  <sheetFormatPr defaultRowHeight="15"/>
  <cols>
    <col min="1" max="1" width="1.42578125" style="2" customWidth="1"/>
    <col min="2" max="2" width="9.85546875" style="3" customWidth="1"/>
    <col min="3" max="3" width="8.85546875" style="3" customWidth="1"/>
    <col min="4" max="4" width="9.85546875" style="3" customWidth="1"/>
    <col min="5" max="5" width="13" style="21" customWidth="1"/>
    <col min="6" max="6" width="13" style="22" customWidth="1"/>
    <col min="7" max="7" width="12.140625" style="22" customWidth="1"/>
    <col min="8" max="8" width="13" style="22" customWidth="1"/>
    <col min="9" max="9" width="16.5703125" style="5" customWidth="1"/>
    <col min="10" max="10" width="0.85546875" style="2" customWidth="1"/>
    <col min="11" max="16384" width="9.140625" style="2"/>
  </cols>
  <sheetData>
    <row r="1" spans="1:10" ht="9.9499999999999993" customHeight="1">
      <c r="B1" s="3" t="s">
        <v>224</v>
      </c>
    </row>
    <row r="2" spans="1:10" s="30" customFormat="1" ht="12.95" customHeight="1">
      <c r="B2" s="27"/>
      <c r="C2" s="27"/>
      <c r="D2" s="29"/>
      <c r="E2" s="28"/>
      <c r="F2" s="29"/>
      <c r="I2" s="199" t="s">
        <v>188</v>
      </c>
      <c r="J2" s="29"/>
    </row>
    <row r="3" spans="1:10" s="30" customFormat="1" ht="12.95" customHeight="1">
      <c r="B3" s="27"/>
      <c r="C3" s="27"/>
      <c r="D3" s="29"/>
      <c r="E3" s="28"/>
      <c r="F3" s="29"/>
      <c r="I3" s="75" t="s">
        <v>189</v>
      </c>
      <c r="J3" s="29"/>
    </row>
    <row r="4" spans="1:10" s="30" customFormat="1" ht="12" customHeight="1">
      <c r="B4" s="27"/>
      <c r="C4" s="27"/>
      <c r="D4" s="29"/>
      <c r="E4" s="28"/>
      <c r="F4" s="29"/>
      <c r="G4" s="75"/>
      <c r="J4" s="29"/>
    </row>
    <row r="5" spans="1:10" s="30" customFormat="1" ht="12" customHeight="1">
      <c r="B5" s="27"/>
      <c r="C5" s="27"/>
      <c r="D5" s="29"/>
      <c r="E5" s="28"/>
      <c r="F5" s="29"/>
      <c r="G5" s="75"/>
      <c r="J5" s="29"/>
    </row>
    <row r="6" spans="1:10" s="55" customFormat="1" ht="9.75" customHeight="1">
      <c r="B6" s="124"/>
      <c r="C6" s="124"/>
      <c r="D6" s="265"/>
      <c r="E6" s="266"/>
      <c r="F6" s="265"/>
      <c r="G6" s="265"/>
      <c r="H6" s="267"/>
      <c r="I6" s="265"/>
      <c r="J6" s="123"/>
    </row>
    <row r="7" spans="1:10" s="55" customFormat="1" ht="15" customHeight="1">
      <c r="B7" s="88" t="s">
        <v>225</v>
      </c>
      <c r="C7" s="71" t="s">
        <v>230</v>
      </c>
      <c r="D7" s="124"/>
      <c r="E7" s="71"/>
      <c r="F7" s="71"/>
      <c r="G7" s="71"/>
      <c r="H7" s="71"/>
      <c r="I7" s="71"/>
      <c r="J7" s="71"/>
    </row>
    <row r="8" spans="1:10" s="72" customFormat="1" ht="15" customHeight="1">
      <c r="B8" s="89" t="s">
        <v>227</v>
      </c>
      <c r="C8" s="74" t="s">
        <v>231</v>
      </c>
      <c r="E8" s="74"/>
      <c r="F8" s="74"/>
      <c r="G8" s="74"/>
      <c r="H8" s="74"/>
      <c r="I8" s="74"/>
      <c r="J8" s="74"/>
    </row>
    <row r="9" spans="1:10" s="55" customFormat="1" ht="6.75" customHeight="1" thickBot="1">
      <c r="B9" s="124"/>
      <c r="C9" s="124"/>
      <c r="D9" s="124"/>
      <c r="E9" s="70"/>
      <c r="F9" s="123"/>
      <c r="G9" s="123"/>
      <c r="H9" s="123"/>
      <c r="I9" s="265"/>
    </row>
    <row r="10" spans="1:10" s="55" customFormat="1" ht="9.9499999999999993" customHeight="1" thickTop="1">
      <c r="A10" s="268"/>
      <c r="B10" s="269"/>
      <c r="C10" s="269"/>
      <c r="D10" s="270"/>
      <c r="E10" s="271"/>
      <c r="F10" s="272"/>
      <c r="G10" s="272"/>
      <c r="H10" s="272"/>
      <c r="I10" s="273"/>
      <c r="J10" s="268"/>
    </row>
    <row r="11" spans="1:10" s="55" customFormat="1" ht="21" customHeight="1">
      <c r="A11" s="249"/>
      <c r="B11" s="274" t="s">
        <v>229</v>
      </c>
      <c r="C11" s="274"/>
      <c r="D11" s="253" t="s">
        <v>100</v>
      </c>
      <c r="E11" s="253" t="s">
        <v>95</v>
      </c>
      <c r="F11" s="275" t="s">
        <v>207</v>
      </c>
      <c r="G11" s="275" t="s">
        <v>208</v>
      </c>
      <c r="H11" s="275" t="s">
        <v>209</v>
      </c>
      <c r="I11" s="275" t="s">
        <v>210</v>
      </c>
      <c r="J11" s="276"/>
    </row>
    <row r="12" spans="1:10" s="55" customFormat="1" ht="15.75" customHeight="1">
      <c r="A12" s="277"/>
      <c r="B12" s="278"/>
      <c r="C12" s="278"/>
      <c r="D12" s="259"/>
      <c r="E12" s="259"/>
      <c r="F12" s="279"/>
      <c r="G12" s="279"/>
      <c r="H12" s="279"/>
      <c r="I12" s="279"/>
      <c r="J12" s="56"/>
    </row>
    <row r="13" spans="1:10" s="55" customFormat="1" ht="6" customHeight="1">
      <c r="A13" s="125"/>
      <c r="B13" s="243"/>
      <c r="C13" s="243"/>
      <c r="D13" s="99"/>
      <c r="E13" s="99"/>
      <c r="F13" s="280"/>
      <c r="G13" s="280"/>
      <c r="H13" s="280"/>
      <c r="I13" s="280"/>
      <c r="J13" s="95"/>
    </row>
    <row r="14" spans="1:10" s="115" customFormat="1" ht="17.100000000000001" customHeight="1">
      <c r="A14" s="298"/>
      <c r="B14" s="133" t="s">
        <v>233</v>
      </c>
      <c r="C14" s="133"/>
      <c r="D14" s="69"/>
      <c r="E14" s="174"/>
      <c r="F14" s="174"/>
      <c r="G14" s="174"/>
      <c r="H14" s="174"/>
      <c r="I14" s="174"/>
    </row>
    <row r="15" spans="1:10" s="55" customFormat="1" ht="12.75">
      <c r="A15" s="298"/>
      <c r="B15" s="91"/>
      <c r="C15" s="91"/>
      <c r="D15" s="69"/>
      <c r="E15" s="175"/>
      <c r="F15" s="175"/>
      <c r="G15" s="175"/>
      <c r="H15" s="175"/>
      <c r="I15" s="175"/>
    </row>
    <row r="16" spans="1:10" s="55" customFormat="1" ht="15" customHeight="1">
      <c r="A16" s="298"/>
      <c r="B16" s="91" t="s">
        <v>148</v>
      </c>
      <c r="C16" s="91"/>
      <c r="D16" s="170">
        <v>2015</v>
      </c>
      <c r="E16" s="175">
        <f>SUM(F16:I16)</f>
        <v>13</v>
      </c>
      <c r="F16" s="175">
        <v>3</v>
      </c>
      <c r="G16" s="175">
        <v>1</v>
      </c>
      <c r="H16" s="175">
        <v>5</v>
      </c>
      <c r="I16" s="175">
        <v>4</v>
      </c>
    </row>
    <row r="17" spans="1:9" s="55" customFormat="1" ht="15" customHeight="1">
      <c r="A17" s="298"/>
      <c r="B17" s="91"/>
      <c r="C17" s="91"/>
      <c r="D17" s="170">
        <v>2016</v>
      </c>
      <c r="E17" s="175">
        <f>SUM(F17:I17)</f>
        <v>17</v>
      </c>
      <c r="F17" s="175">
        <v>2</v>
      </c>
      <c r="G17" s="175">
        <v>3</v>
      </c>
      <c r="H17" s="175">
        <v>6</v>
      </c>
      <c r="I17" s="175">
        <v>6</v>
      </c>
    </row>
    <row r="18" spans="1:9" s="55" customFormat="1" ht="15" customHeight="1">
      <c r="A18" s="298"/>
      <c r="B18" s="91"/>
      <c r="C18" s="91"/>
      <c r="D18" s="170">
        <v>2017</v>
      </c>
      <c r="E18" s="175">
        <f>SUM(F18:I18)</f>
        <v>10</v>
      </c>
      <c r="F18" s="173" t="s">
        <v>51</v>
      </c>
      <c r="G18" s="175">
        <v>4</v>
      </c>
      <c r="H18" s="175">
        <v>1</v>
      </c>
      <c r="I18" s="175">
        <v>5</v>
      </c>
    </row>
    <row r="19" spans="1:9" s="55" customFormat="1" ht="15" customHeight="1">
      <c r="A19" s="298"/>
      <c r="B19" s="91"/>
      <c r="C19" s="91"/>
      <c r="D19" s="170"/>
      <c r="E19" s="175"/>
      <c r="F19" s="175"/>
      <c r="G19" s="175"/>
      <c r="H19" s="175"/>
      <c r="I19" s="175"/>
    </row>
    <row r="20" spans="1:9" s="55" customFormat="1" ht="15" customHeight="1">
      <c r="A20" s="298"/>
      <c r="B20" s="91" t="s">
        <v>149</v>
      </c>
      <c r="C20" s="91"/>
      <c r="D20" s="170">
        <v>2015</v>
      </c>
      <c r="E20" s="175">
        <f>SUM(F20:I20)</f>
        <v>76</v>
      </c>
      <c r="F20" s="175">
        <v>2</v>
      </c>
      <c r="G20" s="175">
        <v>19</v>
      </c>
      <c r="H20" s="175">
        <v>27</v>
      </c>
      <c r="I20" s="175">
        <v>28</v>
      </c>
    </row>
    <row r="21" spans="1:9" s="55" customFormat="1" ht="15" customHeight="1">
      <c r="A21" s="298"/>
      <c r="B21" s="91"/>
      <c r="C21" s="91"/>
      <c r="D21" s="170">
        <v>2016</v>
      </c>
      <c r="E21" s="175">
        <f>SUM(F21:I21)</f>
        <v>103</v>
      </c>
      <c r="F21" s="175">
        <v>2</v>
      </c>
      <c r="G21" s="175">
        <v>19</v>
      </c>
      <c r="H21" s="175">
        <v>53</v>
      </c>
      <c r="I21" s="175">
        <v>29</v>
      </c>
    </row>
    <row r="22" spans="1:9" s="55" customFormat="1" ht="15" customHeight="1">
      <c r="A22" s="298"/>
      <c r="B22" s="91"/>
      <c r="C22" s="91"/>
      <c r="D22" s="170">
        <v>2017</v>
      </c>
      <c r="E22" s="175">
        <f>SUM(F22:I22)</f>
        <v>78</v>
      </c>
      <c r="F22" s="175">
        <v>3</v>
      </c>
      <c r="G22" s="175">
        <v>10</v>
      </c>
      <c r="H22" s="175">
        <v>39</v>
      </c>
      <c r="I22" s="175">
        <v>26</v>
      </c>
    </row>
    <row r="23" spans="1:9" s="55" customFormat="1" ht="15" customHeight="1">
      <c r="A23" s="298"/>
      <c r="B23" s="91"/>
      <c r="C23" s="91"/>
      <c r="D23" s="170"/>
      <c r="E23" s="175"/>
      <c r="F23" s="175"/>
      <c r="G23" s="175"/>
      <c r="H23" s="175"/>
      <c r="I23" s="175"/>
    </row>
    <row r="24" spans="1:9" s="55" customFormat="1" ht="15" customHeight="1">
      <c r="A24" s="298"/>
      <c r="B24" s="91" t="s">
        <v>150</v>
      </c>
      <c r="C24" s="91"/>
      <c r="D24" s="170">
        <v>2015</v>
      </c>
      <c r="E24" s="175">
        <f>SUM(F24:I24)</f>
        <v>2</v>
      </c>
      <c r="F24" s="175" t="s">
        <v>51</v>
      </c>
      <c r="G24" s="175" t="s">
        <v>51</v>
      </c>
      <c r="H24" s="175" t="s">
        <v>51</v>
      </c>
      <c r="I24" s="175">
        <v>2</v>
      </c>
    </row>
    <row r="25" spans="1:9" s="55" customFormat="1" ht="15" customHeight="1">
      <c r="A25" s="298"/>
      <c r="B25" s="91"/>
      <c r="C25" s="91"/>
      <c r="D25" s="170">
        <v>2016</v>
      </c>
      <c r="E25" s="175">
        <f>SUM(F25:I25)</f>
        <v>1</v>
      </c>
      <c r="F25" s="175" t="s">
        <v>51</v>
      </c>
      <c r="G25" s="175" t="s">
        <v>51</v>
      </c>
      <c r="H25" s="175" t="s">
        <v>51</v>
      </c>
      <c r="I25" s="175">
        <v>1</v>
      </c>
    </row>
    <row r="26" spans="1:9" s="55" customFormat="1" ht="15" customHeight="1">
      <c r="A26" s="298"/>
      <c r="B26" s="91"/>
      <c r="C26" s="91"/>
      <c r="D26" s="170">
        <v>2017</v>
      </c>
      <c r="E26" s="175">
        <f>SUM(F26:I26)</f>
        <v>8</v>
      </c>
      <c r="F26" s="173" t="s">
        <v>51</v>
      </c>
      <c r="G26" s="175">
        <v>6</v>
      </c>
      <c r="H26" s="175">
        <v>1</v>
      </c>
      <c r="I26" s="175">
        <v>1</v>
      </c>
    </row>
    <row r="27" spans="1:9" s="55" customFormat="1" ht="15" customHeight="1">
      <c r="A27" s="298"/>
      <c r="B27" s="91"/>
      <c r="C27" s="91"/>
      <c r="D27" s="170"/>
      <c r="E27" s="175"/>
      <c r="F27" s="175"/>
      <c r="G27" s="175"/>
      <c r="H27" s="175"/>
      <c r="I27" s="175"/>
    </row>
    <row r="28" spans="1:9" s="55" customFormat="1" ht="15" customHeight="1">
      <c r="A28" s="298"/>
      <c r="B28" s="91" t="s">
        <v>151</v>
      </c>
      <c r="C28" s="91"/>
      <c r="D28" s="170">
        <v>2015</v>
      </c>
      <c r="E28" s="175">
        <f>SUM(F28:I28)</f>
        <v>28</v>
      </c>
      <c r="F28" s="175" t="s">
        <v>51</v>
      </c>
      <c r="G28" s="175">
        <v>10</v>
      </c>
      <c r="H28" s="175">
        <v>6</v>
      </c>
      <c r="I28" s="175">
        <v>12</v>
      </c>
    </row>
    <row r="29" spans="1:9" s="55" customFormat="1" ht="15" customHeight="1">
      <c r="A29" s="298"/>
      <c r="B29" s="91"/>
      <c r="C29" s="91"/>
      <c r="D29" s="170">
        <v>2016</v>
      </c>
      <c r="E29" s="175">
        <f>SUM(F29:I29)</f>
        <v>25</v>
      </c>
      <c r="F29" s="175" t="s">
        <v>51</v>
      </c>
      <c r="G29" s="175">
        <v>3</v>
      </c>
      <c r="H29" s="175">
        <v>6</v>
      </c>
      <c r="I29" s="175">
        <v>16</v>
      </c>
    </row>
    <row r="30" spans="1:9" s="55" customFormat="1" ht="15" customHeight="1">
      <c r="A30" s="298"/>
      <c r="B30" s="91"/>
      <c r="C30" s="91"/>
      <c r="D30" s="170">
        <v>2017</v>
      </c>
      <c r="E30" s="175">
        <f>SUM(F30:I30)</f>
        <v>28</v>
      </c>
      <c r="F30" s="175">
        <v>1</v>
      </c>
      <c r="G30" s="175">
        <v>7</v>
      </c>
      <c r="H30" s="175">
        <v>9</v>
      </c>
      <c r="I30" s="175">
        <v>11</v>
      </c>
    </row>
    <row r="31" spans="1:9" s="55" customFormat="1" ht="15" customHeight="1">
      <c r="A31" s="298"/>
      <c r="B31" s="91"/>
      <c r="C31" s="91"/>
      <c r="D31" s="170"/>
      <c r="E31" s="175"/>
      <c r="F31" s="175"/>
      <c r="G31" s="175"/>
      <c r="H31" s="175"/>
      <c r="I31" s="175"/>
    </row>
    <row r="32" spans="1:9" s="55" customFormat="1" ht="15" customHeight="1">
      <c r="A32" s="298"/>
      <c r="B32" s="91" t="s">
        <v>152</v>
      </c>
      <c r="C32" s="91"/>
      <c r="D32" s="170">
        <v>2015</v>
      </c>
      <c r="E32" s="175">
        <f>SUM(F32:I32)</f>
        <v>25</v>
      </c>
      <c r="F32" s="175">
        <v>2</v>
      </c>
      <c r="G32" s="175">
        <v>10</v>
      </c>
      <c r="H32" s="175">
        <v>10</v>
      </c>
      <c r="I32" s="175">
        <v>3</v>
      </c>
    </row>
    <row r="33" spans="1:9" s="55" customFormat="1" ht="15" customHeight="1">
      <c r="A33" s="298"/>
      <c r="B33" s="91"/>
      <c r="C33" s="91"/>
      <c r="D33" s="170">
        <v>2016</v>
      </c>
      <c r="E33" s="175">
        <f>SUM(F33:I33)</f>
        <v>19</v>
      </c>
      <c r="F33" s="175" t="s">
        <v>51</v>
      </c>
      <c r="G33" s="175">
        <v>2</v>
      </c>
      <c r="H33" s="175">
        <v>7</v>
      </c>
      <c r="I33" s="175">
        <v>10</v>
      </c>
    </row>
    <row r="34" spans="1:9" s="55" customFormat="1" ht="15" customHeight="1">
      <c r="A34" s="298"/>
      <c r="B34" s="91"/>
      <c r="C34" s="91"/>
      <c r="D34" s="170">
        <v>2017</v>
      </c>
      <c r="E34" s="175">
        <f>SUM(F34:I34)</f>
        <v>25</v>
      </c>
      <c r="F34" s="175">
        <v>1</v>
      </c>
      <c r="G34" s="175">
        <v>2</v>
      </c>
      <c r="H34" s="175">
        <v>12</v>
      </c>
      <c r="I34" s="175">
        <v>10</v>
      </c>
    </row>
    <row r="35" spans="1:9" s="55" customFormat="1" ht="15" customHeight="1">
      <c r="A35" s="298"/>
      <c r="B35" s="91"/>
      <c r="C35" s="91"/>
      <c r="D35" s="170"/>
      <c r="E35" s="175"/>
      <c r="F35" s="175"/>
      <c r="G35" s="175"/>
      <c r="H35" s="175"/>
      <c r="I35" s="175"/>
    </row>
    <row r="36" spans="1:9" s="55" customFormat="1" ht="15" customHeight="1">
      <c r="A36" s="298"/>
      <c r="B36" s="91" t="s">
        <v>153</v>
      </c>
      <c r="C36" s="91"/>
      <c r="D36" s="170">
        <v>2015</v>
      </c>
      <c r="E36" s="175">
        <f>SUM(F36:I36)</f>
        <v>87</v>
      </c>
      <c r="F36" s="175">
        <v>5</v>
      </c>
      <c r="G36" s="175">
        <v>10</v>
      </c>
      <c r="H36" s="175">
        <v>15</v>
      </c>
      <c r="I36" s="175">
        <v>57</v>
      </c>
    </row>
    <row r="37" spans="1:9" s="55" customFormat="1" ht="15" customHeight="1">
      <c r="A37" s="298"/>
      <c r="B37" s="91"/>
      <c r="C37" s="91"/>
      <c r="D37" s="170">
        <v>2016</v>
      </c>
      <c r="E37" s="175">
        <f>SUM(F37:I37)</f>
        <v>107</v>
      </c>
      <c r="F37" s="175">
        <v>7</v>
      </c>
      <c r="G37" s="175">
        <v>12</v>
      </c>
      <c r="H37" s="175">
        <v>31</v>
      </c>
      <c r="I37" s="175">
        <v>57</v>
      </c>
    </row>
    <row r="38" spans="1:9" s="55" customFormat="1" ht="15" customHeight="1">
      <c r="A38" s="298"/>
      <c r="B38" s="91"/>
      <c r="C38" s="91"/>
      <c r="D38" s="170">
        <v>2017</v>
      </c>
      <c r="E38" s="175">
        <f>SUM(F38:I38)</f>
        <v>122</v>
      </c>
      <c r="F38" s="175">
        <v>5</v>
      </c>
      <c r="G38" s="175">
        <v>18</v>
      </c>
      <c r="H38" s="175">
        <v>48</v>
      </c>
      <c r="I38" s="175">
        <v>51</v>
      </c>
    </row>
    <row r="39" spans="1:9" s="55" customFormat="1" ht="15" customHeight="1">
      <c r="A39" s="298"/>
      <c r="B39" s="91"/>
      <c r="C39" s="91"/>
      <c r="D39" s="170"/>
      <c r="E39" s="175"/>
      <c r="F39" s="175"/>
      <c r="G39" s="175"/>
      <c r="H39" s="175"/>
      <c r="I39" s="175"/>
    </row>
    <row r="40" spans="1:9" s="55" customFormat="1" ht="15" customHeight="1">
      <c r="A40" s="298"/>
      <c r="B40" s="91" t="s">
        <v>154</v>
      </c>
      <c r="C40" s="91"/>
      <c r="D40" s="170">
        <v>2015</v>
      </c>
      <c r="E40" s="175">
        <f>SUM(F40:I40)</f>
        <v>7</v>
      </c>
      <c r="F40" s="175" t="s">
        <v>51</v>
      </c>
      <c r="G40" s="175">
        <v>2</v>
      </c>
      <c r="H40" s="175">
        <v>2</v>
      </c>
      <c r="I40" s="175">
        <v>3</v>
      </c>
    </row>
    <row r="41" spans="1:9" s="55" customFormat="1" ht="15" customHeight="1">
      <c r="A41" s="298"/>
      <c r="B41" s="91"/>
      <c r="C41" s="91"/>
      <c r="D41" s="170">
        <v>2016</v>
      </c>
      <c r="E41" s="175">
        <f>SUM(F41:I41)</f>
        <v>7</v>
      </c>
      <c r="F41" s="175" t="s">
        <v>51</v>
      </c>
      <c r="G41" s="175">
        <v>4</v>
      </c>
      <c r="H41" s="175">
        <v>1</v>
      </c>
      <c r="I41" s="175">
        <v>2</v>
      </c>
    </row>
    <row r="42" spans="1:9" s="55" customFormat="1" ht="15" customHeight="1">
      <c r="A42" s="298"/>
      <c r="B42" s="91"/>
      <c r="C42" s="91"/>
      <c r="D42" s="170">
        <v>2017</v>
      </c>
      <c r="E42" s="175">
        <f>SUM(F42:I42)</f>
        <v>5</v>
      </c>
      <c r="F42" s="173" t="s">
        <v>51</v>
      </c>
      <c r="G42" s="175">
        <v>1</v>
      </c>
      <c r="H42" s="173" t="s">
        <v>51</v>
      </c>
      <c r="I42" s="175">
        <v>4</v>
      </c>
    </row>
    <row r="43" spans="1:9" s="55" customFormat="1" ht="15" customHeight="1">
      <c r="A43" s="298"/>
      <c r="B43" s="91"/>
      <c r="C43" s="91"/>
      <c r="D43" s="170"/>
      <c r="E43" s="175"/>
      <c r="F43" s="175"/>
      <c r="G43" s="175"/>
      <c r="H43" s="175"/>
      <c r="I43" s="175"/>
    </row>
    <row r="44" spans="1:9" s="55" customFormat="1" ht="15" customHeight="1">
      <c r="A44" s="298"/>
      <c r="B44" s="91" t="s">
        <v>155</v>
      </c>
      <c r="C44" s="91"/>
      <c r="D44" s="170">
        <v>2015</v>
      </c>
      <c r="E44" s="175">
        <f>SUM(F44:I44)</f>
        <v>2</v>
      </c>
      <c r="F44" s="175" t="s">
        <v>51</v>
      </c>
      <c r="G44" s="175">
        <v>1</v>
      </c>
      <c r="H44" s="175" t="s">
        <v>51</v>
      </c>
      <c r="I44" s="175">
        <v>1</v>
      </c>
    </row>
    <row r="45" spans="1:9" s="55" customFormat="1" ht="15" customHeight="1">
      <c r="A45" s="298"/>
      <c r="B45" s="91"/>
      <c r="C45" s="91"/>
      <c r="D45" s="170">
        <v>2016</v>
      </c>
      <c r="E45" s="175">
        <f>SUM(F45:I45)</f>
        <v>3</v>
      </c>
      <c r="F45" s="175" t="s">
        <v>51</v>
      </c>
      <c r="G45" s="175">
        <v>1</v>
      </c>
      <c r="H45" s="175">
        <v>1</v>
      </c>
      <c r="I45" s="175">
        <v>1</v>
      </c>
    </row>
    <row r="46" spans="1:9" s="55" customFormat="1" ht="15" customHeight="1">
      <c r="A46" s="298"/>
      <c r="B46" s="91"/>
      <c r="C46" s="91"/>
      <c r="D46" s="170">
        <v>2017</v>
      </c>
      <c r="E46" s="175">
        <f>SUM(F46:I46)</f>
        <v>3</v>
      </c>
      <c r="F46" s="173" t="s">
        <v>51</v>
      </c>
      <c r="G46" s="175">
        <v>1</v>
      </c>
      <c r="H46" s="173" t="s">
        <v>51</v>
      </c>
      <c r="I46" s="175">
        <v>2</v>
      </c>
    </row>
    <row r="47" spans="1:9" s="55" customFormat="1" ht="15" customHeight="1">
      <c r="A47" s="298"/>
      <c r="B47" s="91"/>
      <c r="C47" s="91"/>
      <c r="D47" s="170"/>
      <c r="E47" s="175"/>
      <c r="F47" s="175"/>
      <c r="G47" s="175"/>
      <c r="H47" s="175"/>
      <c r="I47" s="175"/>
    </row>
    <row r="48" spans="1:9" s="55" customFormat="1" ht="15" customHeight="1">
      <c r="A48" s="298"/>
      <c r="B48" s="91" t="s">
        <v>156</v>
      </c>
      <c r="C48" s="91"/>
      <c r="D48" s="170">
        <v>2015</v>
      </c>
      <c r="E48" s="175">
        <f>SUM(F48:I48)</f>
        <v>10</v>
      </c>
      <c r="F48" s="175" t="s">
        <v>51</v>
      </c>
      <c r="G48" s="175">
        <v>2</v>
      </c>
      <c r="H48" s="175">
        <v>2</v>
      </c>
      <c r="I48" s="175">
        <v>6</v>
      </c>
    </row>
    <row r="49" spans="1:10" s="55" customFormat="1" ht="15" customHeight="1">
      <c r="A49" s="298"/>
      <c r="B49" s="91"/>
      <c r="C49" s="91"/>
      <c r="D49" s="170">
        <v>2016</v>
      </c>
      <c r="E49" s="175">
        <f>SUM(F49:I49)</f>
        <v>9</v>
      </c>
      <c r="F49" s="175" t="s">
        <v>51</v>
      </c>
      <c r="G49" s="175">
        <v>2</v>
      </c>
      <c r="H49" s="175">
        <v>2</v>
      </c>
      <c r="I49" s="175">
        <v>5</v>
      </c>
    </row>
    <row r="50" spans="1:10" s="55" customFormat="1" ht="15" customHeight="1">
      <c r="A50" s="298"/>
      <c r="B50" s="91"/>
      <c r="C50" s="91"/>
      <c r="D50" s="170">
        <v>2017</v>
      </c>
      <c r="E50" s="175">
        <f>SUM(F50:I50)</f>
        <v>21</v>
      </c>
      <c r="F50" s="175">
        <v>1</v>
      </c>
      <c r="G50" s="175">
        <v>7</v>
      </c>
      <c r="H50" s="175">
        <v>6</v>
      </c>
      <c r="I50" s="175">
        <v>7</v>
      </c>
    </row>
    <row r="51" spans="1:10" s="55" customFormat="1" ht="15" customHeight="1">
      <c r="A51" s="298"/>
      <c r="B51" s="91"/>
      <c r="C51" s="91"/>
      <c r="D51" s="170"/>
      <c r="E51" s="175"/>
      <c r="F51" s="175"/>
      <c r="G51" s="175"/>
      <c r="H51" s="175"/>
      <c r="I51" s="175"/>
    </row>
    <row r="52" spans="1:10" s="55" customFormat="1" ht="15" customHeight="1">
      <c r="A52" s="298"/>
      <c r="B52" s="91" t="s">
        <v>157</v>
      </c>
      <c r="C52" s="91"/>
      <c r="D52" s="170">
        <v>2015</v>
      </c>
      <c r="E52" s="175">
        <f>SUM(F52:I52)</f>
        <v>4</v>
      </c>
      <c r="F52" s="175" t="s">
        <v>51</v>
      </c>
      <c r="G52" s="175">
        <v>3</v>
      </c>
      <c r="H52" s="175" t="s">
        <v>51</v>
      </c>
      <c r="I52" s="175">
        <v>1</v>
      </c>
    </row>
    <row r="53" spans="1:10" s="55" customFormat="1" ht="15" customHeight="1">
      <c r="A53" s="298"/>
      <c r="B53" s="91"/>
      <c r="C53" s="91"/>
      <c r="D53" s="170">
        <v>2016</v>
      </c>
      <c r="E53" s="175">
        <f>SUM(F53:I53)</f>
        <v>5</v>
      </c>
      <c r="F53" s="175">
        <v>1</v>
      </c>
      <c r="G53" s="175">
        <v>2</v>
      </c>
      <c r="H53" s="175" t="s">
        <v>51</v>
      </c>
      <c r="I53" s="175">
        <v>2</v>
      </c>
    </row>
    <row r="54" spans="1:10" s="55" customFormat="1" ht="15" customHeight="1">
      <c r="A54" s="298"/>
      <c r="B54" s="91"/>
      <c r="C54" s="91"/>
      <c r="D54" s="170">
        <v>2017</v>
      </c>
      <c r="E54" s="175">
        <f>SUM(F54:I54)</f>
        <v>5</v>
      </c>
      <c r="F54" s="173" t="s">
        <v>51</v>
      </c>
      <c r="G54" s="173" t="s">
        <v>51</v>
      </c>
      <c r="H54" s="173" t="s">
        <v>51</v>
      </c>
      <c r="I54" s="175">
        <v>5</v>
      </c>
    </row>
    <row r="55" spans="1:10" s="55" customFormat="1" ht="8.1" customHeight="1" thickBot="1">
      <c r="A55" s="283"/>
      <c r="B55" s="284"/>
      <c r="C55" s="284"/>
      <c r="D55" s="284"/>
      <c r="E55" s="285"/>
      <c r="F55" s="286"/>
      <c r="G55" s="286"/>
      <c r="H55" s="286"/>
      <c r="I55" s="287"/>
      <c r="J55" s="283"/>
    </row>
    <row r="56" spans="1:10" s="55" customFormat="1" ht="12.75">
      <c r="B56" s="124"/>
      <c r="C56" s="124"/>
      <c r="D56" s="124"/>
      <c r="E56" s="70"/>
      <c r="F56" s="123"/>
      <c r="G56" s="123"/>
      <c r="H56" s="123"/>
      <c r="I56" s="265"/>
      <c r="J56" s="8" t="s">
        <v>104</v>
      </c>
    </row>
    <row r="57" spans="1:10" s="55" customFormat="1" ht="12.75">
      <c r="B57" s="124"/>
      <c r="C57" s="124"/>
      <c r="D57" s="124"/>
      <c r="E57" s="70"/>
      <c r="F57" s="123"/>
      <c r="G57" s="123"/>
      <c r="H57" s="123"/>
      <c r="I57" s="265"/>
      <c r="J57" s="41" t="s">
        <v>1</v>
      </c>
    </row>
  </sheetData>
  <mergeCells count="7">
    <mergeCell ref="I11:I12"/>
    <mergeCell ref="B11:C12"/>
    <mergeCell ref="D11:D12"/>
    <mergeCell ref="E11:E12"/>
    <mergeCell ref="F11:F12"/>
    <mergeCell ref="G11:G12"/>
    <mergeCell ref="H11:H12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5" fitToWidth="0" orientation="portrait" r:id="rId1"/>
  <headerFooter>
    <oddHeader xml:space="preserve">&amp;R&amp;"-,Bold"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9"/>
  <sheetViews>
    <sheetView showGridLines="0" topLeftCell="A22" zoomScaleNormal="100" zoomScaleSheetLayoutView="100" workbookViewId="0">
      <selection activeCell="P43" sqref="P43"/>
    </sheetView>
  </sheetViews>
  <sheetFormatPr defaultColWidth="9.140625" defaultRowHeight="15"/>
  <cols>
    <col min="1" max="1" width="1.7109375" style="2" customWidth="1"/>
    <col min="2" max="2" width="11.42578125" style="3" customWidth="1"/>
    <col min="3" max="3" width="13" style="3" customWidth="1"/>
    <col min="4" max="4" width="10.85546875" style="3" customWidth="1"/>
    <col min="5" max="5" width="15.7109375" style="21" customWidth="1"/>
    <col min="6" max="6" width="23.7109375" style="22" customWidth="1"/>
    <col min="7" max="7" width="23.7109375" style="182" customWidth="1"/>
    <col min="8" max="8" width="0.85546875" style="2" customWidth="1"/>
    <col min="9" max="16384" width="9.140625" style="2"/>
  </cols>
  <sheetData>
    <row r="1" spans="1:13" s="30" customFormat="1" ht="12" customHeight="1">
      <c r="B1" s="27"/>
      <c r="C1" s="27"/>
      <c r="D1" s="27"/>
      <c r="E1" s="28"/>
      <c r="F1" s="29"/>
      <c r="G1" s="179" t="s">
        <v>188</v>
      </c>
    </row>
    <row r="2" spans="1:13" s="30" customFormat="1" ht="12" customHeight="1">
      <c r="B2" s="27"/>
      <c r="C2" s="27"/>
      <c r="D2" s="27"/>
      <c r="E2" s="28"/>
      <c r="F2" s="29"/>
      <c r="G2" s="180" t="s">
        <v>189</v>
      </c>
    </row>
    <row r="3" spans="1:13" s="30" customFormat="1" ht="12" customHeight="1">
      <c r="B3" s="27"/>
      <c r="C3" s="27"/>
      <c r="D3" s="27"/>
      <c r="E3" s="28"/>
      <c r="F3" s="29"/>
      <c r="G3" s="180"/>
    </row>
    <row r="4" spans="1:13" s="30" customFormat="1" ht="12" customHeight="1">
      <c r="B4" s="27"/>
      <c r="C4" s="27"/>
      <c r="D4" s="27"/>
      <c r="E4" s="28"/>
      <c r="F4" s="29"/>
      <c r="G4" s="180"/>
    </row>
    <row r="5" spans="1:13" s="55" customFormat="1" ht="15" customHeight="1">
      <c r="B5" s="70" t="s">
        <v>92</v>
      </c>
      <c r="C5" s="71" t="s">
        <v>179</v>
      </c>
      <c r="D5" s="71"/>
      <c r="E5" s="70"/>
      <c r="F5" s="71"/>
      <c r="G5" s="181"/>
      <c r="H5" s="71"/>
    </row>
    <row r="6" spans="1:13" s="72" customFormat="1" ht="15" customHeight="1">
      <c r="B6" s="73" t="s">
        <v>93</v>
      </c>
      <c r="C6" s="189" t="s">
        <v>180</v>
      </c>
      <c r="D6" s="189"/>
      <c r="E6" s="189"/>
      <c r="F6" s="189"/>
      <c r="G6" s="189"/>
      <c r="H6" s="74"/>
    </row>
    <row r="7" spans="1:13" ht="9.9499999999999993" customHeight="1" thickBot="1"/>
    <row r="8" spans="1:13" s="55" customFormat="1" ht="20.100000000000001" customHeight="1" thickTop="1">
      <c r="A8" s="53"/>
      <c r="B8" s="196" t="s">
        <v>98</v>
      </c>
      <c r="C8" s="196"/>
      <c r="D8" s="190" t="s">
        <v>100</v>
      </c>
      <c r="E8" s="190" t="s">
        <v>95</v>
      </c>
      <c r="F8" s="192" t="s">
        <v>96</v>
      </c>
      <c r="G8" s="194" t="s">
        <v>97</v>
      </c>
      <c r="H8" s="54"/>
    </row>
    <row r="9" spans="1:13" s="55" customFormat="1" ht="33" customHeight="1" thickBot="1">
      <c r="A9" s="56"/>
      <c r="B9" s="197"/>
      <c r="C9" s="197"/>
      <c r="D9" s="191"/>
      <c r="E9" s="191"/>
      <c r="F9" s="193"/>
      <c r="G9" s="195"/>
      <c r="H9" s="57"/>
    </row>
    <row r="10" spans="1:13" ht="8.1" customHeight="1">
      <c r="A10" s="45"/>
      <c r="B10" s="46"/>
      <c r="C10" s="46"/>
      <c r="D10" s="46"/>
      <c r="E10" s="198"/>
      <c r="F10" s="198"/>
      <c r="G10" s="198"/>
      <c r="H10" s="45"/>
    </row>
    <row r="11" spans="1:13" s="24" customFormat="1" ht="15" customHeight="1">
      <c r="B11" s="68" t="s">
        <v>102</v>
      </c>
      <c r="C11" s="68"/>
      <c r="D11" s="69">
        <v>2015</v>
      </c>
      <c r="E11" s="59">
        <f>E15+E19+E23+E27+E31+E35+E39+E43+E47+E51+E55</f>
        <v>7817</v>
      </c>
      <c r="F11" s="165">
        <f t="shared" ref="F11:G11" si="0">F15+F19+F23+F27+F31+F35+F39+F43+F47+F51+F55</f>
        <v>1311</v>
      </c>
      <c r="G11" s="174">
        <f t="shared" si="0"/>
        <v>6506</v>
      </c>
      <c r="M11" s="6"/>
    </row>
    <row r="12" spans="1:13" s="24" customFormat="1" ht="15" customHeight="1">
      <c r="B12" s="68"/>
      <c r="C12" s="68"/>
      <c r="D12" s="69">
        <v>2016</v>
      </c>
      <c r="E12" s="165">
        <f t="shared" ref="E12:G12" si="1">E16+E20+E24+E28+E32+E36+E40+E44+E48+E52+E56</f>
        <v>7440</v>
      </c>
      <c r="F12" s="165">
        <f t="shared" si="1"/>
        <v>1239</v>
      </c>
      <c r="G12" s="174">
        <f t="shared" si="1"/>
        <v>6201</v>
      </c>
      <c r="M12" s="6"/>
    </row>
    <row r="13" spans="1:13" s="24" customFormat="1" ht="15" customHeight="1">
      <c r="B13" s="68"/>
      <c r="C13" s="68"/>
      <c r="D13" s="69">
        <v>2017</v>
      </c>
      <c r="E13" s="174">
        <f>E17+E21+E25+E29+E33+E37+E41+E45+E49+E53+E57</f>
        <v>6759</v>
      </c>
      <c r="F13" s="174">
        <f>F17+F21+F25+F29+F33+F37+F41+F45+F49+F53+F57</f>
        <v>996</v>
      </c>
      <c r="G13" s="174">
        <f>G17+G21+G25+G29+G33+G37+G41+G45+G49+G53+G57</f>
        <v>5763</v>
      </c>
      <c r="M13" s="6"/>
    </row>
    <row r="14" spans="1:13" s="24" customFormat="1" ht="8.1" customHeight="1">
      <c r="B14" s="68"/>
      <c r="C14" s="68"/>
      <c r="D14" s="67"/>
      <c r="E14" s="60"/>
      <c r="F14" s="60"/>
      <c r="G14" s="60"/>
      <c r="M14" s="6"/>
    </row>
    <row r="15" spans="1:13" s="7" customFormat="1" ht="15" customHeight="1">
      <c r="B15" s="62" t="s">
        <v>57</v>
      </c>
      <c r="C15" s="62"/>
      <c r="D15" s="170">
        <v>2015</v>
      </c>
      <c r="E15" s="166">
        <f>SUM(F15:G15)</f>
        <v>462</v>
      </c>
      <c r="F15" s="152">
        <v>82</v>
      </c>
      <c r="G15" s="175">
        <v>380</v>
      </c>
      <c r="M15" s="2"/>
    </row>
    <row r="16" spans="1:13" s="7" customFormat="1" ht="15" customHeight="1">
      <c r="B16" s="62"/>
      <c r="C16" s="62"/>
      <c r="D16" s="170">
        <v>2016</v>
      </c>
      <c r="E16" s="175">
        <f>SUM(F16:G16)</f>
        <v>421</v>
      </c>
      <c r="F16" s="152">
        <v>70</v>
      </c>
      <c r="G16" s="175">
        <v>351</v>
      </c>
      <c r="M16" s="2"/>
    </row>
    <row r="17" spans="2:13" s="7" customFormat="1" ht="15" customHeight="1">
      <c r="B17" s="62"/>
      <c r="C17" s="62"/>
      <c r="D17" s="170">
        <v>2017</v>
      </c>
      <c r="E17" s="175">
        <f>SUM(F17:G17)</f>
        <v>320</v>
      </c>
      <c r="F17" s="152">
        <v>65</v>
      </c>
      <c r="G17" s="175">
        <v>255</v>
      </c>
      <c r="M17" s="2"/>
    </row>
    <row r="18" spans="2:13" s="7" customFormat="1" ht="8.1" customHeight="1">
      <c r="B18" s="62"/>
      <c r="C18" s="62"/>
      <c r="D18" s="170"/>
      <c r="E18" s="166"/>
      <c r="F18" s="58"/>
      <c r="G18" s="175"/>
      <c r="M18" s="2"/>
    </row>
    <row r="19" spans="2:13" s="7" customFormat="1" ht="15" customHeight="1">
      <c r="B19" s="61" t="s">
        <v>58</v>
      </c>
      <c r="C19" s="62"/>
      <c r="D19" s="176">
        <v>2015</v>
      </c>
      <c r="E19" s="166">
        <f>SUM(F19:G19)</f>
        <v>78</v>
      </c>
      <c r="F19" s="154">
        <v>21</v>
      </c>
      <c r="G19" s="175">
        <v>57</v>
      </c>
      <c r="M19" s="2"/>
    </row>
    <row r="20" spans="2:13" s="7" customFormat="1" ht="15" customHeight="1">
      <c r="B20" s="62"/>
      <c r="C20" s="62"/>
      <c r="D20" s="170">
        <v>2016</v>
      </c>
      <c r="E20" s="166">
        <f>SUM(F20:G20)</f>
        <v>72</v>
      </c>
      <c r="F20" s="153">
        <v>20</v>
      </c>
      <c r="G20" s="175">
        <v>52</v>
      </c>
    </row>
    <row r="21" spans="2:13" ht="15" customHeight="1">
      <c r="B21" s="61"/>
      <c r="C21" s="62"/>
      <c r="D21" s="170">
        <v>2017</v>
      </c>
      <c r="E21" s="166">
        <f>SUM(F21:G21)</f>
        <v>68</v>
      </c>
      <c r="F21" s="154">
        <v>11</v>
      </c>
      <c r="G21" s="175">
        <v>57</v>
      </c>
    </row>
    <row r="22" spans="2:13" ht="8.1" customHeight="1">
      <c r="B22" s="61"/>
      <c r="C22" s="62"/>
      <c r="D22" s="170"/>
      <c r="E22" s="166"/>
      <c r="F22" s="58"/>
      <c r="G22" s="175"/>
    </row>
    <row r="23" spans="2:13" ht="15" customHeight="1">
      <c r="B23" s="62" t="s">
        <v>59</v>
      </c>
      <c r="C23" s="61"/>
      <c r="D23" s="176">
        <v>2015</v>
      </c>
      <c r="E23" s="166">
        <f>SUM(F23:G23)</f>
        <v>2044</v>
      </c>
      <c r="F23" s="155">
        <v>358</v>
      </c>
      <c r="G23" s="175">
        <v>1686</v>
      </c>
    </row>
    <row r="24" spans="2:13" ht="15" customHeight="1">
      <c r="B24" s="62"/>
      <c r="C24" s="62"/>
      <c r="D24" s="176">
        <v>2016</v>
      </c>
      <c r="E24" s="166">
        <f>SUM(F24:G24)</f>
        <v>1993</v>
      </c>
      <c r="F24" s="155">
        <v>344</v>
      </c>
      <c r="G24" s="175">
        <v>1649</v>
      </c>
    </row>
    <row r="25" spans="2:13" ht="15" customHeight="1">
      <c r="B25" s="62"/>
      <c r="C25" s="62"/>
      <c r="D25" s="170">
        <v>2017</v>
      </c>
      <c r="E25" s="166">
        <f>SUM(F25:G25)</f>
        <v>1552</v>
      </c>
      <c r="F25" s="155">
        <v>165</v>
      </c>
      <c r="G25" s="175">
        <v>1387</v>
      </c>
    </row>
    <row r="26" spans="2:13" ht="8.1" customHeight="1">
      <c r="B26" s="62"/>
      <c r="C26" s="62"/>
      <c r="D26" s="170"/>
      <c r="E26" s="166"/>
      <c r="F26" s="58"/>
      <c r="G26" s="175"/>
    </row>
    <row r="27" spans="2:13" ht="15" customHeight="1">
      <c r="B27" s="62" t="s">
        <v>60</v>
      </c>
      <c r="C27" s="62"/>
      <c r="D27" s="176">
        <v>2015</v>
      </c>
      <c r="E27" s="166">
        <f>SUM(F27:G27)</f>
        <v>2042</v>
      </c>
      <c r="F27" s="156">
        <v>354</v>
      </c>
      <c r="G27" s="175">
        <v>1688</v>
      </c>
    </row>
    <row r="28" spans="2:13" s="3" customFormat="1" ht="15" customHeight="1">
      <c r="B28" s="62"/>
      <c r="C28" s="62"/>
      <c r="D28" s="176">
        <v>2016</v>
      </c>
      <c r="E28" s="166">
        <f>SUM(F28:G28)</f>
        <v>2056</v>
      </c>
      <c r="F28" s="156">
        <v>365</v>
      </c>
      <c r="G28" s="175">
        <v>1691</v>
      </c>
      <c r="H28" s="2"/>
      <c r="I28" s="2"/>
      <c r="J28" s="2"/>
    </row>
    <row r="29" spans="2:13" ht="15" customHeight="1">
      <c r="B29" s="62"/>
      <c r="C29" s="62"/>
      <c r="D29" s="170">
        <v>2017</v>
      </c>
      <c r="E29" s="166">
        <f>SUM(F29:G29)</f>
        <v>2077</v>
      </c>
      <c r="F29" s="156">
        <v>372</v>
      </c>
      <c r="G29" s="175">
        <v>1705</v>
      </c>
    </row>
    <row r="30" spans="2:13" ht="8.1" customHeight="1">
      <c r="B30" s="62"/>
      <c r="C30" s="62"/>
      <c r="D30" s="170"/>
      <c r="E30" s="166"/>
      <c r="F30" s="58"/>
      <c r="G30" s="175"/>
    </row>
    <row r="31" spans="2:13" ht="15" customHeight="1">
      <c r="B31" s="62" t="s">
        <v>61</v>
      </c>
      <c r="C31" s="62"/>
      <c r="D31" s="176">
        <v>2015</v>
      </c>
      <c r="E31" s="166">
        <f>SUM(F31:G31)</f>
        <v>831</v>
      </c>
      <c r="F31" s="157">
        <v>128</v>
      </c>
      <c r="G31" s="175">
        <v>703</v>
      </c>
    </row>
    <row r="32" spans="2:13" ht="15" customHeight="1">
      <c r="B32" s="62"/>
      <c r="C32" s="62"/>
      <c r="D32" s="176">
        <v>2016</v>
      </c>
      <c r="E32" s="166">
        <f>SUM(F32:G32)</f>
        <v>791</v>
      </c>
      <c r="F32" s="157">
        <v>117</v>
      </c>
      <c r="G32" s="175">
        <v>674</v>
      </c>
    </row>
    <row r="33" spans="2:7" ht="15" customHeight="1">
      <c r="B33" s="62"/>
      <c r="C33" s="62"/>
      <c r="D33" s="170">
        <v>2017</v>
      </c>
      <c r="E33" s="166">
        <f>SUM(F33:G33)</f>
        <v>765</v>
      </c>
      <c r="F33" s="157">
        <v>92</v>
      </c>
      <c r="G33" s="175">
        <v>673</v>
      </c>
    </row>
    <row r="34" spans="2:7" ht="8.1" customHeight="1">
      <c r="B34" s="62"/>
      <c r="C34" s="62"/>
      <c r="D34" s="170"/>
      <c r="E34" s="166"/>
      <c r="F34" s="63"/>
      <c r="G34" s="175"/>
    </row>
    <row r="35" spans="2:7" ht="15" customHeight="1">
      <c r="B35" s="62" t="s">
        <v>62</v>
      </c>
      <c r="C35" s="62"/>
      <c r="D35" s="176">
        <v>2015</v>
      </c>
      <c r="E35" s="166">
        <f>SUM(F35:G35)</f>
        <v>1165</v>
      </c>
      <c r="F35" s="158">
        <v>178</v>
      </c>
      <c r="G35" s="175">
        <v>987</v>
      </c>
    </row>
    <row r="36" spans="2:7" ht="15" customHeight="1">
      <c r="B36" s="62"/>
      <c r="C36" s="62"/>
      <c r="D36" s="176">
        <v>2016</v>
      </c>
      <c r="E36" s="166">
        <f>SUM(F36:G36)</f>
        <v>1058</v>
      </c>
      <c r="F36" s="158">
        <v>149</v>
      </c>
      <c r="G36" s="175">
        <v>909</v>
      </c>
    </row>
    <row r="37" spans="2:7" ht="15" customHeight="1">
      <c r="B37" s="62"/>
      <c r="C37" s="61"/>
      <c r="D37" s="170">
        <v>2017</v>
      </c>
      <c r="E37" s="166">
        <f>SUM(F37:G37)</f>
        <v>1018</v>
      </c>
      <c r="F37" s="158">
        <v>171</v>
      </c>
      <c r="G37" s="175">
        <v>847</v>
      </c>
    </row>
    <row r="38" spans="2:7" ht="8.1" customHeight="1">
      <c r="B38" s="62"/>
      <c r="C38" s="61"/>
      <c r="D38" s="170"/>
      <c r="E38" s="166"/>
      <c r="F38" s="58"/>
      <c r="G38" s="175"/>
    </row>
    <row r="39" spans="2:7" ht="15" customHeight="1">
      <c r="B39" s="62" t="s">
        <v>63</v>
      </c>
      <c r="C39" s="62"/>
      <c r="D39" s="176">
        <v>2015</v>
      </c>
      <c r="E39" s="166">
        <f>SUM(F39:G39)</f>
        <v>521</v>
      </c>
      <c r="F39" s="159">
        <v>66</v>
      </c>
      <c r="G39" s="175">
        <v>455</v>
      </c>
    </row>
    <row r="40" spans="2:7" ht="15" customHeight="1">
      <c r="B40" s="62"/>
      <c r="C40" s="62"/>
      <c r="D40" s="176">
        <v>2016</v>
      </c>
      <c r="E40" s="166">
        <f>SUM(F40:G40)</f>
        <v>447</v>
      </c>
      <c r="F40" s="160">
        <v>59</v>
      </c>
      <c r="G40" s="175">
        <v>388</v>
      </c>
    </row>
    <row r="41" spans="2:7" ht="15" customHeight="1">
      <c r="B41" s="62"/>
      <c r="C41" s="62"/>
      <c r="D41" s="170">
        <v>2017</v>
      </c>
      <c r="E41" s="166">
        <f>SUM(F41:G41)</f>
        <v>395</v>
      </c>
      <c r="F41" s="159">
        <v>42</v>
      </c>
      <c r="G41" s="175">
        <v>353</v>
      </c>
    </row>
    <row r="42" spans="2:7" ht="8.1" customHeight="1">
      <c r="B42" s="62"/>
      <c r="C42" s="62"/>
      <c r="D42" s="170"/>
      <c r="E42" s="166"/>
      <c r="F42" s="58"/>
      <c r="G42" s="175"/>
    </row>
    <row r="43" spans="2:7" ht="15" customHeight="1">
      <c r="B43" s="62" t="s">
        <v>64</v>
      </c>
      <c r="C43" s="62"/>
      <c r="D43" s="176">
        <v>2015</v>
      </c>
      <c r="E43" s="166">
        <f>SUM(F43:G43)</f>
        <v>127</v>
      </c>
      <c r="F43" s="161">
        <v>25</v>
      </c>
      <c r="G43" s="175">
        <v>102</v>
      </c>
    </row>
    <row r="44" spans="2:7" ht="15" customHeight="1">
      <c r="B44" s="62"/>
      <c r="C44" s="62"/>
      <c r="D44" s="176">
        <v>2016</v>
      </c>
      <c r="E44" s="166">
        <f>SUM(F44:G44)</f>
        <v>106</v>
      </c>
      <c r="F44" s="161">
        <v>25</v>
      </c>
      <c r="G44" s="175">
        <v>81</v>
      </c>
    </row>
    <row r="45" spans="2:7" ht="15" customHeight="1">
      <c r="B45" s="62"/>
      <c r="C45" s="62"/>
      <c r="D45" s="170">
        <v>2017</v>
      </c>
      <c r="E45" s="166">
        <f>SUM(F45:G45)</f>
        <v>121</v>
      </c>
      <c r="F45" s="161">
        <v>21</v>
      </c>
      <c r="G45" s="175">
        <v>100</v>
      </c>
    </row>
    <row r="46" spans="2:7" ht="8.1" customHeight="1">
      <c r="B46" s="62"/>
      <c r="C46" s="62"/>
      <c r="D46" s="170"/>
      <c r="E46" s="166"/>
      <c r="F46" s="58"/>
      <c r="G46" s="175"/>
    </row>
    <row r="47" spans="2:7" ht="15" customHeight="1">
      <c r="B47" s="62" t="s">
        <v>65</v>
      </c>
      <c r="C47" s="62"/>
      <c r="D47" s="176">
        <v>2015</v>
      </c>
      <c r="E47" s="166">
        <f>SUM(F47:G47)</f>
        <v>259</v>
      </c>
      <c r="F47" s="162">
        <v>45</v>
      </c>
      <c r="G47" s="175">
        <v>214</v>
      </c>
    </row>
    <row r="48" spans="2:7" ht="15" customHeight="1">
      <c r="B48" s="62"/>
      <c r="C48" s="62"/>
      <c r="D48" s="176">
        <v>2016</v>
      </c>
      <c r="E48" s="166">
        <f>SUM(F48:G48)</f>
        <v>244</v>
      </c>
      <c r="F48" s="162">
        <v>50</v>
      </c>
      <c r="G48" s="175">
        <v>194</v>
      </c>
    </row>
    <row r="49" spans="1:13" ht="15" customHeight="1">
      <c r="B49" s="62"/>
      <c r="C49" s="62"/>
      <c r="D49" s="170">
        <v>2017</v>
      </c>
      <c r="E49" s="166">
        <f>SUM(F49:G49)</f>
        <v>237</v>
      </c>
      <c r="F49" s="162">
        <v>29</v>
      </c>
      <c r="G49" s="175">
        <v>208</v>
      </c>
    </row>
    <row r="50" spans="1:13" ht="8.1" customHeight="1">
      <c r="B50" s="62"/>
      <c r="C50" s="62"/>
      <c r="D50" s="170"/>
      <c r="E50" s="166"/>
      <c r="F50" s="58"/>
      <c r="G50" s="175"/>
    </row>
    <row r="51" spans="1:13" s="7" customFormat="1" ht="15" customHeight="1">
      <c r="B51" s="62" t="s">
        <v>66</v>
      </c>
      <c r="C51" s="62"/>
      <c r="D51" s="176">
        <v>2015</v>
      </c>
      <c r="E51" s="166">
        <f>SUM(F51:G51)</f>
        <v>125</v>
      </c>
      <c r="F51" s="164">
        <v>29</v>
      </c>
      <c r="G51" s="175">
        <v>96</v>
      </c>
      <c r="M51" s="2"/>
    </row>
    <row r="52" spans="1:13" s="7" customFormat="1" ht="15" customHeight="1">
      <c r="B52" s="62"/>
      <c r="C52" s="62"/>
      <c r="D52" s="176">
        <v>2016</v>
      </c>
      <c r="E52" s="166">
        <f>SUM(F52:G52)</f>
        <v>106</v>
      </c>
      <c r="F52" s="163">
        <v>20</v>
      </c>
      <c r="G52" s="175">
        <v>86</v>
      </c>
      <c r="M52" s="2"/>
    </row>
    <row r="53" spans="1:13" s="7" customFormat="1" ht="15" customHeight="1">
      <c r="B53" s="62"/>
      <c r="C53" s="62"/>
      <c r="D53" s="170">
        <v>2017</v>
      </c>
      <c r="E53" s="166">
        <f>SUM(F53:G53)</f>
        <v>66</v>
      </c>
      <c r="F53" s="164">
        <v>11</v>
      </c>
      <c r="G53" s="175">
        <v>55</v>
      </c>
      <c r="M53" s="2"/>
    </row>
    <row r="54" spans="1:13" s="7" customFormat="1" ht="8.1" customHeight="1">
      <c r="B54" s="62"/>
      <c r="C54" s="62"/>
      <c r="D54" s="170"/>
      <c r="E54" s="166"/>
      <c r="F54" s="58"/>
      <c r="G54" s="175"/>
      <c r="M54" s="2"/>
    </row>
    <row r="55" spans="1:13" s="7" customFormat="1" ht="15" customHeight="1">
      <c r="B55" s="62" t="s">
        <v>67</v>
      </c>
      <c r="C55" s="62"/>
      <c r="D55" s="176">
        <v>2015</v>
      </c>
      <c r="E55" s="166">
        <f>SUM(F55:G55)</f>
        <v>163</v>
      </c>
      <c r="F55" s="168">
        <v>25</v>
      </c>
      <c r="G55" s="175">
        <v>138</v>
      </c>
      <c r="M55" s="2"/>
    </row>
    <row r="56" spans="1:13" s="7" customFormat="1" ht="15" customHeight="1">
      <c r="B56" s="62"/>
      <c r="C56" s="62"/>
      <c r="D56" s="176">
        <v>2016</v>
      </c>
      <c r="E56" s="166">
        <f>SUM(F56:G56)</f>
        <v>146</v>
      </c>
      <c r="F56" s="167">
        <v>20</v>
      </c>
      <c r="G56" s="175">
        <v>126</v>
      </c>
      <c r="M56" s="2"/>
    </row>
    <row r="57" spans="1:13" s="7" customFormat="1" ht="15" customHeight="1">
      <c r="B57" s="62"/>
      <c r="C57" s="62"/>
      <c r="D57" s="170">
        <v>2017</v>
      </c>
      <c r="E57" s="166">
        <f>SUM(F57:G57)</f>
        <v>140</v>
      </c>
      <c r="F57" s="168">
        <v>17</v>
      </c>
      <c r="G57" s="175">
        <v>123</v>
      </c>
      <c r="M57" s="2"/>
    </row>
    <row r="58" spans="1:13" s="7" customFormat="1" ht="8.1" customHeight="1" thickBot="1">
      <c r="A58" s="34"/>
      <c r="B58" s="64"/>
      <c r="C58" s="64"/>
      <c r="D58" s="149"/>
      <c r="E58" s="77"/>
      <c r="F58" s="76"/>
      <c r="G58" s="65"/>
      <c r="H58" s="34"/>
      <c r="M58" s="2"/>
    </row>
    <row r="59" spans="1:13">
      <c r="D59" s="139"/>
      <c r="G59" s="183" t="s">
        <v>104</v>
      </c>
    </row>
    <row r="60" spans="1:13">
      <c r="D60" s="139"/>
      <c r="G60" s="184" t="s">
        <v>1</v>
      </c>
    </row>
    <row r="61" spans="1:13">
      <c r="D61" s="139"/>
    </row>
    <row r="62" spans="1:13">
      <c r="D62" s="139"/>
    </row>
    <row r="63" spans="1:13">
      <c r="D63" s="139"/>
    </row>
    <row r="64" spans="1:13">
      <c r="D64" s="139"/>
    </row>
    <row r="65" spans="4:4">
      <c r="D65" s="139"/>
    </row>
    <row r="66" spans="4:4">
      <c r="D66" s="139"/>
    </row>
    <row r="67" spans="4:4">
      <c r="D67" s="139"/>
    </row>
    <row r="68" spans="4:4">
      <c r="D68" s="139"/>
    </row>
    <row r="69" spans="4:4">
      <c r="D69" s="139"/>
    </row>
  </sheetData>
  <mergeCells count="7">
    <mergeCell ref="C6:G6"/>
    <mergeCell ref="E10:G10"/>
    <mergeCell ref="E8:E9"/>
    <mergeCell ref="F8:F9"/>
    <mergeCell ref="G8:G9"/>
    <mergeCell ref="B8:C9"/>
    <mergeCell ref="D8:D9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0" fitToWidth="0" orientation="portrait" r:id="rId1"/>
  <headerFooter>
    <oddHeader xml:space="preserve">&amp;R&amp;"-,Bold"
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M80"/>
  <sheetViews>
    <sheetView showGridLines="0" topLeftCell="A10" zoomScale="90" zoomScaleNormal="90" zoomScaleSheetLayoutView="100" workbookViewId="0">
      <selection activeCell="O30" sqref="O30"/>
    </sheetView>
  </sheetViews>
  <sheetFormatPr defaultRowHeight="15"/>
  <cols>
    <col min="1" max="1" width="1.7109375" style="2" customWidth="1"/>
    <col min="2" max="2" width="10.140625" style="3" customWidth="1"/>
    <col min="3" max="3" width="9" style="3" customWidth="1"/>
    <col min="4" max="4" width="9.42578125" style="3" customWidth="1"/>
    <col min="5" max="5" width="13" style="21" customWidth="1"/>
    <col min="6" max="8" width="13" style="22" customWidth="1"/>
    <col min="9" max="9" width="16.7109375" style="5" customWidth="1"/>
    <col min="10" max="10" width="0.85546875" style="2" customWidth="1"/>
    <col min="11" max="16384" width="9.140625" style="2"/>
  </cols>
  <sheetData>
    <row r="1" spans="1:12" ht="9.9499999999999993" customHeight="1">
      <c r="B1" s="3" t="s">
        <v>224</v>
      </c>
    </row>
    <row r="2" spans="1:12" s="30" customFormat="1" ht="12.95" customHeight="1">
      <c r="B2" s="27"/>
      <c r="C2" s="27"/>
      <c r="D2" s="29"/>
      <c r="E2" s="28"/>
      <c r="F2" s="29"/>
      <c r="I2" s="199" t="s">
        <v>188</v>
      </c>
      <c r="J2" s="29"/>
    </row>
    <row r="3" spans="1:12" s="30" customFormat="1" ht="12.95" customHeight="1">
      <c r="B3" s="27"/>
      <c r="C3" s="27"/>
      <c r="D3" s="29"/>
      <c r="E3" s="28"/>
      <c r="F3" s="29"/>
      <c r="I3" s="75" t="s">
        <v>189</v>
      </c>
      <c r="J3" s="29"/>
    </row>
    <row r="4" spans="1:12" s="30" customFormat="1" ht="12" customHeight="1">
      <c r="B4" s="27"/>
      <c r="C4" s="27"/>
      <c r="D4" s="29"/>
      <c r="E4" s="28"/>
      <c r="F4" s="29"/>
      <c r="G4" s="75"/>
      <c r="J4" s="29"/>
    </row>
    <row r="5" spans="1:12" s="30" customFormat="1" ht="12" customHeight="1">
      <c r="B5" s="27"/>
      <c r="C5" s="27"/>
      <c r="D5" s="29"/>
      <c r="E5" s="28"/>
      <c r="F5" s="29"/>
      <c r="G5" s="75"/>
      <c r="J5" s="29"/>
    </row>
    <row r="6" spans="1:12" s="55" customFormat="1" ht="9.75" customHeight="1">
      <c r="B6" s="124"/>
      <c r="C6" s="124"/>
      <c r="D6" s="265"/>
      <c r="E6" s="266"/>
      <c r="F6" s="265"/>
      <c r="G6" s="265"/>
      <c r="H6" s="267"/>
      <c r="I6" s="265"/>
      <c r="J6" s="123"/>
    </row>
    <row r="7" spans="1:12" s="55" customFormat="1" ht="15" customHeight="1">
      <c r="B7" s="88" t="s">
        <v>225</v>
      </c>
      <c r="C7" s="71" t="s">
        <v>230</v>
      </c>
      <c r="D7" s="124"/>
      <c r="E7" s="71"/>
      <c r="F7" s="71"/>
      <c r="G7" s="71"/>
      <c r="H7" s="71"/>
      <c r="I7" s="71"/>
      <c r="J7" s="71"/>
    </row>
    <row r="8" spans="1:12" s="72" customFormat="1" ht="15" customHeight="1">
      <c r="B8" s="89" t="s">
        <v>227</v>
      </c>
      <c r="C8" s="74" t="s">
        <v>231</v>
      </c>
      <c r="E8" s="74"/>
      <c r="F8" s="74"/>
      <c r="G8" s="74"/>
      <c r="H8" s="74"/>
      <c r="I8" s="74"/>
      <c r="J8" s="74"/>
    </row>
    <row r="9" spans="1:12" s="55" customFormat="1" ht="6.75" customHeight="1" thickBot="1">
      <c r="B9" s="124"/>
      <c r="C9" s="124"/>
      <c r="D9" s="124"/>
      <c r="E9" s="70"/>
      <c r="F9" s="123"/>
      <c r="G9" s="123"/>
      <c r="H9" s="123"/>
      <c r="I9" s="265"/>
    </row>
    <row r="10" spans="1:12" s="55" customFormat="1" ht="9.9499999999999993" customHeight="1" thickTop="1">
      <c r="A10" s="268"/>
      <c r="B10" s="269"/>
      <c r="C10" s="269"/>
      <c r="D10" s="270"/>
      <c r="E10" s="271"/>
      <c r="F10" s="272"/>
      <c r="G10" s="272"/>
      <c r="H10" s="272"/>
      <c r="I10" s="273"/>
      <c r="J10" s="268"/>
    </row>
    <row r="11" spans="1:12" s="55" customFormat="1" ht="21" customHeight="1">
      <c r="A11" s="249"/>
      <c r="B11" s="274" t="s">
        <v>229</v>
      </c>
      <c r="C11" s="274"/>
      <c r="D11" s="253" t="s">
        <v>100</v>
      </c>
      <c r="E11" s="253" t="s">
        <v>95</v>
      </c>
      <c r="F11" s="275" t="s">
        <v>207</v>
      </c>
      <c r="G11" s="275" t="s">
        <v>208</v>
      </c>
      <c r="H11" s="275" t="s">
        <v>209</v>
      </c>
      <c r="I11" s="275" t="s">
        <v>210</v>
      </c>
      <c r="J11" s="276"/>
    </row>
    <row r="12" spans="1:12" s="55" customFormat="1" ht="15.75" customHeight="1">
      <c r="A12" s="277"/>
      <c r="B12" s="278"/>
      <c r="C12" s="278"/>
      <c r="D12" s="259"/>
      <c r="E12" s="259"/>
      <c r="F12" s="279"/>
      <c r="G12" s="279"/>
      <c r="H12" s="279"/>
      <c r="I12" s="279"/>
      <c r="J12" s="56"/>
    </row>
    <row r="13" spans="1:12" s="55" customFormat="1" ht="6" customHeight="1">
      <c r="A13" s="125"/>
      <c r="B13" s="243"/>
      <c r="C13" s="243"/>
      <c r="D13" s="99"/>
      <c r="E13" s="99"/>
      <c r="F13" s="280"/>
      <c r="G13" s="280"/>
      <c r="H13" s="280"/>
      <c r="I13" s="280"/>
      <c r="J13" s="95"/>
    </row>
    <row r="14" spans="1:12" s="55" customFormat="1" ht="12.95" customHeight="1">
      <c r="A14" s="298"/>
      <c r="B14" s="133" t="s">
        <v>105</v>
      </c>
      <c r="C14" s="133"/>
      <c r="D14" s="69">
        <v>2015</v>
      </c>
      <c r="E14" s="174">
        <f>SUM(F14:I14)</f>
        <v>6583</v>
      </c>
      <c r="F14" s="174">
        <v>137</v>
      </c>
      <c r="G14" s="174">
        <v>309</v>
      </c>
      <c r="H14" s="174">
        <v>4920</v>
      </c>
      <c r="I14" s="174">
        <v>1217</v>
      </c>
      <c r="J14" s="125"/>
    </row>
    <row r="15" spans="1:12" s="55" customFormat="1" ht="12.95" customHeight="1">
      <c r="A15" s="298"/>
      <c r="B15" s="133"/>
      <c r="C15" s="133"/>
      <c r="D15" s="69">
        <v>2016</v>
      </c>
      <c r="E15" s="174">
        <f>SUM(F15:I15)</f>
        <v>6610</v>
      </c>
      <c r="F15" s="174">
        <v>105</v>
      </c>
      <c r="G15" s="174">
        <v>305</v>
      </c>
      <c r="H15" s="174">
        <v>4940</v>
      </c>
      <c r="I15" s="174">
        <v>1260</v>
      </c>
      <c r="J15" s="125"/>
      <c r="L15" s="297"/>
    </row>
    <row r="16" spans="1:12" s="55" customFormat="1" ht="12.95" customHeight="1">
      <c r="A16" s="298"/>
      <c r="B16" s="133"/>
      <c r="C16" s="133"/>
      <c r="D16" s="69">
        <v>2017</v>
      </c>
      <c r="E16" s="174">
        <f>SUM(F16:I16)</f>
        <v>6470</v>
      </c>
      <c r="F16" s="174">
        <f>F20+F24+F28+F32+F36+F40+F44+F48+F52+F60+F64+F68+F72+F76</f>
        <v>83</v>
      </c>
      <c r="G16" s="174">
        <f t="shared" ref="G16:J16" si="0">G20+G24+G28+G32+G36+G40+G44+G48+G52+G56+G60+G64+G68+G72+G76</f>
        <v>321</v>
      </c>
      <c r="H16" s="174">
        <f t="shared" si="0"/>
        <v>4958</v>
      </c>
      <c r="I16" s="174">
        <f t="shared" si="0"/>
        <v>1108</v>
      </c>
      <c r="J16" s="174">
        <f t="shared" si="0"/>
        <v>0</v>
      </c>
      <c r="L16" s="297"/>
    </row>
    <row r="17" spans="1:13" s="55" customFormat="1" ht="5.0999999999999996" customHeight="1">
      <c r="A17" s="298"/>
      <c r="B17" s="133"/>
      <c r="C17" s="133"/>
      <c r="D17" s="69"/>
      <c r="E17" s="174"/>
      <c r="F17" s="174"/>
      <c r="G17" s="174"/>
      <c r="H17" s="174"/>
      <c r="I17" s="174"/>
      <c r="J17" s="125"/>
      <c r="L17" s="297"/>
    </row>
    <row r="18" spans="1:13" s="55" customFormat="1" ht="12.95" customHeight="1">
      <c r="A18" s="298"/>
      <c r="B18" s="91" t="s">
        <v>106</v>
      </c>
      <c r="C18" s="91"/>
      <c r="D18" s="170">
        <v>2015</v>
      </c>
      <c r="E18" s="175">
        <f>SUM(F18:I18)</f>
        <v>549</v>
      </c>
      <c r="F18" s="175">
        <v>6</v>
      </c>
      <c r="G18" s="175">
        <v>31</v>
      </c>
      <c r="H18" s="175">
        <v>419</v>
      </c>
      <c r="I18" s="175">
        <v>93</v>
      </c>
      <c r="J18" s="125"/>
      <c r="L18" s="297"/>
    </row>
    <row r="19" spans="1:13" s="55" customFormat="1" ht="12.95" customHeight="1">
      <c r="A19" s="298"/>
      <c r="B19" s="91"/>
      <c r="C19" s="91"/>
      <c r="D19" s="170">
        <v>2016</v>
      </c>
      <c r="E19" s="175">
        <f>SUM(F19:I19)</f>
        <v>556</v>
      </c>
      <c r="F19" s="175">
        <v>5</v>
      </c>
      <c r="G19" s="175">
        <v>30</v>
      </c>
      <c r="H19" s="175">
        <v>455</v>
      </c>
      <c r="I19" s="175">
        <v>66</v>
      </c>
      <c r="J19" s="125"/>
      <c r="L19" s="297"/>
    </row>
    <row r="20" spans="1:13" s="55" customFormat="1" ht="12.95" customHeight="1">
      <c r="A20" s="298"/>
      <c r="B20" s="91"/>
      <c r="C20" s="91"/>
      <c r="D20" s="170">
        <v>2017</v>
      </c>
      <c r="E20" s="175">
        <f>SUM(F20:I20)</f>
        <v>708</v>
      </c>
      <c r="F20" s="175">
        <v>4</v>
      </c>
      <c r="G20" s="175">
        <v>36</v>
      </c>
      <c r="H20" s="175">
        <v>582</v>
      </c>
      <c r="I20" s="175">
        <v>86</v>
      </c>
      <c r="J20" s="125"/>
      <c r="L20" s="297"/>
      <c r="M20" s="91"/>
    </row>
    <row r="21" spans="1:13" s="55" customFormat="1" ht="5.0999999999999996" customHeight="1">
      <c r="A21" s="298"/>
      <c r="B21" s="91"/>
      <c r="C21" s="91"/>
      <c r="D21" s="170"/>
      <c r="E21" s="175"/>
      <c r="F21" s="175"/>
      <c r="G21" s="175"/>
      <c r="H21" s="175"/>
      <c r="I21" s="175"/>
      <c r="J21" s="125"/>
      <c r="L21" s="297"/>
      <c r="M21" s="91"/>
    </row>
    <row r="22" spans="1:13" s="55" customFormat="1" ht="12.95" customHeight="1">
      <c r="A22" s="298"/>
      <c r="B22" s="91" t="s">
        <v>107</v>
      </c>
      <c r="C22" s="91"/>
      <c r="D22" s="170">
        <v>2015</v>
      </c>
      <c r="E22" s="175">
        <f>SUM(F22:I22)</f>
        <v>760</v>
      </c>
      <c r="F22" s="175">
        <v>11</v>
      </c>
      <c r="G22" s="175">
        <v>31</v>
      </c>
      <c r="H22" s="175">
        <v>580</v>
      </c>
      <c r="I22" s="175">
        <v>138</v>
      </c>
      <c r="J22" s="125"/>
    </row>
    <row r="23" spans="1:13" s="124" customFormat="1" ht="12.95" customHeight="1">
      <c r="A23" s="298"/>
      <c r="B23" s="91"/>
      <c r="C23" s="91"/>
      <c r="D23" s="170">
        <v>2016</v>
      </c>
      <c r="E23" s="175">
        <f>SUM(F23:I23)</f>
        <v>852</v>
      </c>
      <c r="F23" s="175">
        <v>11</v>
      </c>
      <c r="G23" s="175">
        <v>39</v>
      </c>
      <c r="H23" s="175">
        <v>661</v>
      </c>
      <c r="I23" s="175">
        <v>141</v>
      </c>
      <c r="J23" s="125"/>
    </row>
    <row r="24" spans="1:13" s="55" customFormat="1" ht="12.95" customHeight="1">
      <c r="A24" s="298"/>
      <c r="B24" s="91"/>
      <c r="C24" s="91"/>
      <c r="D24" s="170">
        <v>2017</v>
      </c>
      <c r="E24" s="175">
        <f>SUM(F24:I24)</f>
        <v>838</v>
      </c>
      <c r="F24" s="175">
        <v>11</v>
      </c>
      <c r="G24" s="175">
        <v>41</v>
      </c>
      <c r="H24" s="175">
        <v>672</v>
      </c>
      <c r="I24" s="175">
        <v>114</v>
      </c>
      <c r="J24" s="125"/>
    </row>
    <row r="25" spans="1:13" s="55" customFormat="1" ht="5.0999999999999996" customHeight="1">
      <c r="A25" s="298"/>
      <c r="B25" s="91"/>
      <c r="C25" s="91"/>
      <c r="D25" s="170"/>
      <c r="E25" s="175"/>
      <c r="F25" s="175"/>
      <c r="G25" s="175"/>
      <c r="H25" s="175"/>
      <c r="I25" s="175"/>
      <c r="J25" s="125"/>
    </row>
    <row r="26" spans="1:13" s="55" customFormat="1" ht="12.95" customHeight="1">
      <c r="A26" s="298"/>
      <c r="B26" s="91" t="s">
        <v>108</v>
      </c>
      <c r="C26" s="91"/>
      <c r="D26" s="170">
        <v>2015</v>
      </c>
      <c r="E26" s="175">
        <f>SUM(F26:I26)</f>
        <v>100</v>
      </c>
      <c r="F26" s="175">
        <v>4</v>
      </c>
      <c r="G26" s="175">
        <v>14</v>
      </c>
      <c r="H26" s="175">
        <v>57</v>
      </c>
      <c r="I26" s="175">
        <v>25</v>
      </c>
      <c r="J26" s="125"/>
    </row>
    <row r="27" spans="1:13" s="55" customFormat="1" ht="12.95" customHeight="1">
      <c r="A27" s="298"/>
      <c r="B27" s="91"/>
      <c r="C27" s="91"/>
      <c r="D27" s="170">
        <v>2016</v>
      </c>
      <c r="E27" s="175">
        <f>SUM(F27:I27)</f>
        <v>88</v>
      </c>
      <c r="F27" s="175">
        <v>5</v>
      </c>
      <c r="G27" s="175">
        <v>18</v>
      </c>
      <c r="H27" s="175">
        <v>47</v>
      </c>
      <c r="I27" s="175">
        <v>18</v>
      </c>
      <c r="J27" s="125"/>
    </row>
    <row r="28" spans="1:13" s="55" customFormat="1" ht="12.95" customHeight="1">
      <c r="A28" s="298"/>
      <c r="B28" s="91"/>
      <c r="C28" s="91"/>
      <c r="D28" s="170">
        <v>2017</v>
      </c>
      <c r="E28" s="175">
        <f>SUM(F28:I28)</f>
        <v>110</v>
      </c>
      <c r="F28" s="175">
        <v>3</v>
      </c>
      <c r="G28" s="175">
        <v>30</v>
      </c>
      <c r="H28" s="175">
        <v>52</v>
      </c>
      <c r="I28" s="175">
        <v>25</v>
      </c>
      <c r="J28" s="125"/>
    </row>
    <row r="29" spans="1:13" s="55" customFormat="1" ht="5.0999999999999996" customHeight="1">
      <c r="A29" s="298"/>
      <c r="B29" s="91"/>
      <c r="C29" s="91"/>
      <c r="D29" s="170"/>
      <c r="E29" s="175"/>
      <c r="F29" s="175"/>
      <c r="G29" s="175"/>
      <c r="H29" s="175"/>
      <c r="I29" s="175"/>
      <c r="J29" s="125"/>
    </row>
    <row r="30" spans="1:13" s="55" customFormat="1" ht="12.95" customHeight="1">
      <c r="A30" s="298"/>
      <c r="B30" s="91" t="s">
        <v>109</v>
      </c>
      <c r="C30" s="91"/>
      <c r="D30" s="170">
        <v>2015</v>
      </c>
      <c r="E30" s="175">
        <f>SUM(F30:I30)</f>
        <v>797</v>
      </c>
      <c r="F30" s="175">
        <v>16</v>
      </c>
      <c r="G30" s="175">
        <v>36</v>
      </c>
      <c r="H30" s="175">
        <v>604</v>
      </c>
      <c r="I30" s="175">
        <v>141</v>
      </c>
      <c r="J30" s="125"/>
    </row>
    <row r="31" spans="1:13" s="55" customFormat="1" ht="12.95" customHeight="1">
      <c r="A31" s="298"/>
      <c r="B31" s="91"/>
      <c r="C31" s="91"/>
      <c r="D31" s="170">
        <v>2016</v>
      </c>
      <c r="E31" s="175">
        <f>SUM(F31:I31)</f>
        <v>697</v>
      </c>
      <c r="F31" s="175">
        <v>11</v>
      </c>
      <c r="G31" s="175">
        <v>24</v>
      </c>
      <c r="H31" s="175">
        <v>525</v>
      </c>
      <c r="I31" s="175">
        <v>137</v>
      </c>
      <c r="J31" s="125"/>
    </row>
    <row r="32" spans="1:13" s="55" customFormat="1" ht="12.95" customHeight="1">
      <c r="A32" s="298"/>
      <c r="B32" s="91"/>
      <c r="C32" s="91"/>
      <c r="D32" s="170">
        <v>2017</v>
      </c>
      <c r="E32" s="175">
        <f>SUM(F32:I32)</f>
        <v>971</v>
      </c>
      <c r="F32" s="175">
        <v>11</v>
      </c>
      <c r="G32" s="175">
        <v>23</v>
      </c>
      <c r="H32" s="175">
        <v>804</v>
      </c>
      <c r="I32" s="175">
        <v>133</v>
      </c>
      <c r="J32" s="125"/>
    </row>
    <row r="33" spans="1:10" s="55" customFormat="1" ht="5.0999999999999996" customHeight="1">
      <c r="A33" s="298"/>
      <c r="B33" s="91"/>
      <c r="C33" s="91"/>
      <c r="D33" s="170"/>
      <c r="E33" s="175"/>
      <c r="F33" s="175"/>
      <c r="G33" s="175"/>
      <c r="H33" s="175"/>
      <c r="I33" s="175"/>
      <c r="J33" s="125"/>
    </row>
    <row r="34" spans="1:10" s="55" customFormat="1" ht="12.95" customHeight="1">
      <c r="A34" s="298"/>
      <c r="B34" s="91" t="s">
        <v>110</v>
      </c>
      <c r="C34" s="91"/>
      <c r="D34" s="170">
        <v>2015</v>
      </c>
      <c r="E34" s="175">
        <f>SUM(F34:I34)</f>
        <v>651</v>
      </c>
      <c r="F34" s="175">
        <v>14</v>
      </c>
      <c r="G34" s="175">
        <v>22</v>
      </c>
      <c r="H34" s="175">
        <v>486</v>
      </c>
      <c r="I34" s="175">
        <v>129</v>
      </c>
      <c r="J34" s="125"/>
    </row>
    <row r="35" spans="1:10" s="55" customFormat="1" ht="12.95" customHeight="1">
      <c r="A35" s="298"/>
      <c r="B35" s="91"/>
      <c r="C35" s="91"/>
      <c r="D35" s="170">
        <v>2016</v>
      </c>
      <c r="E35" s="175">
        <f>SUM(F35:I35)</f>
        <v>673</v>
      </c>
      <c r="F35" s="175">
        <v>13</v>
      </c>
      <c r="G35" s="175">
        <v>37</v>
      </c>
      <c r="H35" s="175">
        <v>463</v>
      </c>
      <c r="I35" s="175">
        <v>160</v>
      </c>
      <c r="J35" s="125"/>
    </row>
    <row r="36" spans="1:10" s="55" customFormat="1" ht="12.95" customHeight="1">
      <c r="A36" s="298"/>
      <c r="B36" s="91"/>
      <c r="C36" s="91"/>
      <c r="D36" s="170">
        <v>2017</v>
      </c>
      <c r="E36" s="175">
        <f>SUM(F36:I36)</f>
        <v>582</v>
      </c>
      <c r="F36" s="175">
        <v>8</v>
      </c>
      <c r="G36" s="175">
        <v>16</v>
      </c>
      <c r="H36" s="175">
        <v>425</v>
      </c>
      <c r="I36" s="175">
        <v>133</v>
      </c>
      <c r="J36" s="125"/>
    </row>
    <row r="37" spans="1:10" s="55" customFormat="1" ht="5.0999999999999996" customHeight="1">
      <c r="A37" s="298"/>
      <c r="B37" s="91"/>
      <c r="C37" s="91"/>
      <c r="D37" s="170"/>
      <c r="E37" s="175"/>
      <c r="F37" s="175"/>
      <c r="G37" s="175"/>
      <c r="H37" s="175"/>
      <c r="I37" s="175"/>
      <c r="J37" s="125"/>
    </row>
    <row r="38" spans="1:10" s="55" customFormat="1" ht="12.95" customHeight="1">
      <c r="A38" s="298"/>
      <c r="B38" s="91" t="s">
        <v>111</v>
      </c>
      <c r="C38" s="91"/>
      <c r="D38" s="170">
        <v>2015</v>
      </c>
      <c r="E38" s="175">
        <f>SUM(F38:I38)</f>
        <v>517</v>
      </c>
      <c r="F38" s="175">
        <v>16</v>
      </c>
      <c r="G38" s="175">
        <v>28</v>
      </c>
      <c r="H38" s="175">
        <v>377</v>
      </c>
      <c r="I38" s="175">
        <v>96</v>
      </c>
      <c r="J38" s="125"/>
    </row>
    <row r="39" spans="1:10" s="55" customFormat="1" ht="12.95" customHeight="1">
      <c r="A39" s="298"/>
      <c r="B39" s="91"/>
      <c r="C39" s="91"/>
      <c r="D39" s="170">
        <v>2016</v>
      </c>
      <c r="E39" s="175">
        <f>SUM(F39:I39)</f>
        <v>440</v>
      </c>
      <c r="F39" s="175">
        <v>13</v>
      </c>
      <c r="G39" s="175">
        <v>17</v>
      </c>
      <c r="H39" s="175">
        <v>320</v>
      </c>
      <c r="I39" s="175">
        <v>90</v>
      </c>
      <c r="J39" s="125"/>
    </row>
    <row r="40" spans="1:10" s="55" customFormat="1" ht="12.95" customHeight="1">
      <c r="A40" s="298"/>
      <c r="B40" s="91"/>
      <c r="C40" s="91"/>
      <c r="D40" s="170">
        <v>2017</v>
      </c>
      <c r="E40" s="175">
        <f>SUM(F40:I40)</f>
        <v>392</v>
      </c>
      <c r="F40" s="175">
        <v>3</v>
      </c>
      <c r="G40" s="175">
        <v>16</v>
      </c>
      <c r="H40" s="175">
        <v>290</v>
      </c>
      <c r="I40" s="175">
        <v>83</v>
      </c>
      <c r="J40" s="125"/>
    </row>
    <row r="41" spans="1:10" s="55" customFormat="1" ht="5.0999999999999996" customHeight="1">
      <c r="A41" s="298"/>
      <c r="B41" s="91"/>
      <c r="C41" s="91"/>
      <c r="D41" s="170"/>
      <c r="E41" s="175"/>
      <c r="F41" s="175"/>
      <c r="G41" s="175"/>
      <c r="H41" s="175"/>
      <c r="I41" s="175"/>
      <c r="J41" s="125"/>
    </row>
    <row r="42" spans="1:10" s="55" customFormat="1" ht="12.95" customHeight="1">
      <c r="A42" s="298"/>
      <c r="B42" s="91" t="s">
        <v>112</v>
      </c>
      <c r="C42" s="91"/>
      <c r="D42" s="170">
        <v>2015</v>
      </c>
      <c r="E42" s="175">
        <f>SUM(F42:I42)</f>
        <v>142</v>
      </c>
      <c r="F42" s="175">
        <v>11</v>
      </c>
      <c r="G42" s="175">
        <v>14</v>
      </c>
      <c r="H42" s="175">
        <v>53</v>
      </c>
      <c r="I42" s="175">
        <v>64</v>
      </c>
      <c r="J42" s="125"/>
    </row>
    <row r="43" spans="1:10" s="55" customFormat="1" ht="12.95" customHeight="1">
      <c r="A43" s="298"/>
      <c r="B43" s="91"/>
      <c r="C43" s="91"/>
      <c r="D43" s="170">
        <v>2016</v>
      </c>
      <c r="E43" s="175">
        <f>SUM(F43:I43)</f>
        <v>160</v>
      </c>
      <c r="F43" s="175">
        <v>6</v>
      </c>
      <c r="G43" s="175">
        <v>8</v>
      </c>
      <c r="H43" s="175">
        <v>89</v>
      </c>
      <c r="I43" s="175">
        <v>57</v>
      </c>
      <c r="J43" s="125"/>
    </row>
    <row r="44" spans="1:10" s="55" customFormat="1" ht="12.95" customHeight="1">
      <c r="A44" s="298"/>
      <c r="B44" s="91"/>
      <c r="C44" s="91"/>
      <c r="D44" s="170">
        <v>2017</v>
      </c>
      <c r="E44" s="175">
        <f>SUM(F44:I44)</f>
        <v>151</v>
      </c>
      <c r="F44" s="175">
        <v>2</v>
      </c>
      <c r="G44" s="175">
        <v>10</v>
      </c>
      <c r="H44" s="175">
        <v>79</v>
      </c>
      <c r="I44" s="175">
        <v>60</v>
      </c>
      <c r="J44" s="125"/>
    </row>
    <row r="45" spans="1:10" s="55" customFormat="1" ht="5.0999999999999996" customHeight="1">
      <c r="A45" s="298"/>
      <c r="B45" s="91"/>
      <c r="C45" s="91"/>
      <c r="D45" s="170"/>
      <c r="E45" s="175"/>
      <c r="F45" s="175"/>
      <c r="G45" s="175"/>
      <c r="H45" s="175"/>
      <c r="I45" s="175"/>
      <c r="J45" s="125"/>
    </row>
    <row r="46" spans="1:10" s="55" customFormat="1" ht="12.95" customHeight="1">
      <c r="A46" s="298"/>
      <c r="B46" s="91" t="s">
        <v>113</v>
      </c>
      <c r="C46" s="91"/>
      <c r="D46" s="170">
        <v>2015</v>
      </c>
      <c r="E46" s="175">
        <f>SUM(F46:I46)</f>
        <v>118</v>
      </c>
      <c r="F46" s="175">
        <v>5</v>
      </c>
      <c r="G46" s="175">
        <v>9</v>
      </c>
      <c r="H46" s="175">
        <v>69</v>
      </c>
      <c r="I46" s="175">
        <v>35</v>
      </c>
      <c r="J46" s="125"/>
    </row>
    <row r="47" spans="1:10" s="55" customFormat="1" ht="12.95" customHeight="1">
      <c r="A47" s="298"/>
      <c r="B47" s="91"/>
      <c r="C47" s="91"/>
      <c r="D47" s="170">
        <v>2016</v>
      </c>
      <c r="E47" s="175">
        <f>SUM(F47:I47)</f>
        <v>128</v>
      </c>
      <c r="F47" s="175">
        <v>3</v>
      </c>
      <c r="G47" s="175">
        <v>18</v>
      </c>
      <c r="H47" s="175">
        <v>83</v>
      </c>
      <c r="I47" s="175">
        <v>24</v>
      </c>
      <c r="J47" s="125"/>
    </row>
    <row r="48" spans="1:10" s="55" customFormat="1" ht="12.95" customHeight="1">
      <c r="A48" s="298"/>
      <c r="B48" s="91"/>
      <c r="C48" s="91"/>
      <c r="D48" s="170">
        <v>2017</v>
      </c>
      <c r="E48" s="175">
        <f>SUM(F48:I48)</f>
        <v>98</v>
      </c>
      <c r="F48" s="175">
        <v>6</v>
      </c>
      <c r="G48" s="175">
        <v>8</v>
      </c>
      <c r="H48" s="175">
        <v>63</v>
      </c>
      <c r="I48" s="175">
        <v>21</v>
      </c>
      <c r="J48" s="125"/>
    </row>
    <row r="49" spans="1:10" s="55" customFormat="1" ht="8.1" customHeight="1">
      <c r="A49" s="298"/>
      <c r="B49" s="91"/>
      <c r="C49" s="91"/>
      <c r="D49" s="170"/>
      <c r="E49" s="175"/>
      <c r="F49" s="175"/>
      <c r="G49" s="175"/>
      <c r="H49" s="175"/>
      <c r="I49" s="175"/>
      <c r="J49" s="125"/>
    </row>
    <row r="50" spans="1:10" s="55" customFormat="1" ht="12.95" customHeight="1">
      <c r="A50" s="298"/>
      <c r="B50" s="91" t="s">
        <v>114</v>
      </c>
      <c r="C50" s="91"/>
      <c r="D50" s="170">
        <v>2015</v>
      </c>
      <c r="E50" s="175">
        <f>SUM(F50:I50)</f>
        <v>1191</v>
      </c>
      <c r="F50" s="175">
        <v>8</v>
      </c>
      <c r="G50" s="175">
        <v>22</v>
      </c>
      <c r="H50" s="175">
        <v>971</v>
      </c>
      <c r="I50" s="175">
        <v>190</v>
      </c>
      <c r="J50" s="125"/>
    </row>
    <row r="51" spans="1:10" s="55" customFormat="1" ht="12.95" customHeight="1">
      <c r="A51" s="298"/>
      <c r="B51" s="91"/>
      <c r="C51" s="91"/>
      <c r="D51" s="170">
        <v>2016</v>
      </c>
      <c r="E51" s="175">
        <f>SUM(F51:I51)</f>
        <v>1303</v>
      </c>
      <c r="F51" s="175">
        <v>9</v>
      </c>
      <c r="G51" s="175">
        <v>19</v>
      </c>
      <c r="H51" s="175">
        <v>1019</v>
      </c>
      <c r="I51" s="175">
        <v>256</v>
      </c>
      <c r="J51" s="125"/>
    </row>
    <row r="52" spans="1:10" s="55" customFormat="1" ht="12.95" customHeight="1">
      <c r="A52" s="298"/>
      <c r="B52" s="91"/>
      <c r="C52" s="91"/>
      <c r="D52" s="170">
        <v>2017</v>
      </c>
      <c r="E52" s="175">
        <f>SUM(F52:I52)</f>
        <v>1139</v>
      </c>
      <c r="F52" s="175">
        <v>7</v>
      </c>
      <c r="G52" s="175">
        <v>42</v>
      </c>
      <c r="H52" s="175">
        <v>935</v>
      </c>
      <c r="I52" s="175">
        <v>155</v>
      </c>
      <c r="J52" s="125"/>
    </row>
    <row r="53" spans="1:10" s="55" customFormat="1" ht="8.1" customHeight="1">
      <c r="A53" s="298"/>
      <c r="B53" s="91"/>
      <c r="C53" s="91"/>
      <c r="D53" s="170"/>
      <c r="E53" s="175"/>
      <c r="F53" s="175"/>
      <c r="G53" s="175"/>
      <c r="H53" s="175"/>
      <c r="I53" s="175"/>
      <c r="J53" s="125"/>
    </row>
    <row r="54" spans="1:10" s="55" customFormat="1" ht="12.95" customHeight="1">
      <c r="A54" s="298"/>
      <c r="B54" s="91" t="s">
        <v>115</v>
      </c>
      <c r="C54" s="91"/>
      <c r="D54" s="170">
        <v>2015</v>
      </c>
      <c r="E54" s="175">
        <f>SUM(F54:I54)</f>
        <v>54</v>
      </c>
      <c r="F54" s="175">
        <v>2</v>
      </c>
      <c r="G54" s="175">
        <v>12</v>
      </c>
      <c r="H54" s="175">
        <v>16</v>
      </c>
      <c r="I54" s="175">
        <v>24</v>
      </c>
    </row>
    <row r="55" spans="1:10" s="55" customFormat="1" ht="12.95" customHeight="1">
      <c r="A55" s="298"/>
      <c r="B55" s="91"/>
      <c r="C55" s="91"/>
      <c r="D55" s="170">
        <v>2016</v>
      </c>
      <c r="E55" s="175">
        <f>SUM(F55:I55)</f>
        <v>67</v>
      </c>
      <c r="F55" s="175">
        <v>3</v>
      </c>
      <c r="G55" s="175">
        <v>10</v>
      </c>
      <c r="H55" s="175">
        <v>24</v>
      </c>
      <c r="I55" s="175">
        <v>30</v>
      </c>
    </row>
    <row r="56" spans="1:10" s="55" customFormat="1" ht="12.95" customHeight="1">
      <c r="A56" s="298"/>
      <c r="B56" s="91"/>
      <c r="C56" s="91"/>
      <c r="D56" s="170">
        <v>2017</v>
      </c>
      <c r="E56" s="175">
        <f>SUM(F56:I56)</f>
        <v>65</v>
      </c>
      <c r="F56" s="173" t="s">
        <v>51</v>
      </c>
      <c r="G56" s="175">
        <v>15</v>
      </c>
      <c r="H56" s="175">
        <v>25</v>
      </c>
      <c r="I56" s="175">
        <v>25</v>
      </c>
    </row>
    <row r="57" spans="1:10" s="55" customFormat="1" ht="8.1" customHeight="1">
      <c r="A57" s="298"/>
      <c r="B57" s="91"/>
      <c r="C57" s="91"/>
      <c r="D57" s="170"/>
      <c r="E57" s="175"/>
      <c r="F57" s="175"/>
      <c r="G57" s="175"/>
      <c r="H57" s="175"/>
      <c r="I57" s="175"/>
    </row>
    <row r="58" spans="1:10" s="55" customFormat="1" ht="12.95" customHeight="1">
      <c r="A58" s="298"/>
      <c r="B58" s="91" t="s">
        <v>116</v>
      </c>
      <c r="C58" s="91"/>
      <c r="D58" s="170">
        <v>2015</v>
      </c>
      <c r="E58" s="175">
        <f>SUM(F58:I58)</f>
        <v>260</v>
      </c>
      <c r="F58" s="175">
        <v>12</v>
      </c>
      <c r="G58" s="175">
        <v>14</v>
      </c>
      <c r="H58" s="175">
        <v>160</v>
      </c>
      <c r="I58" s="175">
        <v>74</v>
      </c>
    </row>
    <row r="59" spans="1:10" s="55" customFormat="1" ht="12.95" customHeight="1">
      <c r="A59" s="298"/>
      <c r="B59" s="91"/>
      <c r="C59" s="91"/>
      <c r="D59" s="170">
        <v>2016</v>
      </c>
      <c r="E59" s="175">
        <f>SUM(F59:I59)</f>
        <v>257</v>
      </c>
      <c r="F59" s="175">
        <v>5</v>
      </c>
      <c r="G59" s="175">
        <v>18</v>
      </c>
      <c r="H59" s="175">
        <v>154</v>
      </c>
      <c r="I59" s="175">
        <v>80</v>
      </c>
    </row>
    <row r="60" spans="1:10" s="55" customFormat="1" ht="12.95" customHeight="1">
      <c r="A60" s="298"/>
      <c r="B60" s="91"/>
      <c r="C60" s="91"/>
      <c r="D60" s="170">
        <v>2017</v>
      </c>
      <c r="E60" s="175">
        <f>SUM(F60:I60)</f>
        <v>184</v>
      </c>
      <c r="F60" s="175">
        <v>7</v>
      </c>
      <c r="G60" s="175">
        <v>14</v>
      </c>
      <c r="H60" s="175">
        <v>109</v>
      </c>
      <c r="I60" s="175">
        <v>54</v>
      </c>
    </row>
    <row r="61" spans="1:10" s="55" customFormat="1" ht="8.1" customHeight="1">
      <c r="A61" s="298"/>
      <c r="B61" s="91"/>
      <c r="C61" s="91"/>
      <c r="D61" s="170"/>
      <c r="E61" s="175"/>
      <c r="F61" s="175"/>
      <c r="G61" s="175"/>
      <c r="H61" s="175"/>
      <c r="I61" s="175"/>
    </row>
    <row r="62" spans="1:10" s="55" customFormat="1" ht="12.95" customHeight="1">
      <c r="A62" s="298"/>
      <c r="B62" s="91" t="s">
        <v>117</v>
      </c>
      <c r="C62" s="91"/>
      <c r="D62" s="170">
        <v>2015</v>
      </c>
      <c r="E62" s="175">
        <f>SUM(F62:I62)</f>
        <v>426</v>
      </c>
      <c r="F62" s="175">
        <v>7</v>
      </c>
      <c r="G62" s="175">
        <v>8</v>
      </c>
      <c r="H62" s="175">
        <v>346</v>
      </c>
      <c r="I62" s="175">
        <v>65</v>
      </c>
    </row>
    <row r="63" spans="1:10" s="55" customFormat="1" ht="12.95" customHeight="1">
      <c r="A63" s="298"/>
      <c r="B63" s="91"/>
      <c r="C63" s="91"/>
      <c r="D63" s="170">
        <v>2016</v>
      </c>
      <c r="E63" s="175">
        <f>SUM(F63:I63)</f>
        <v>433</v>
      </c>
      <c r="F63" s="175">
        <v>3</v>
      </c>
      <c r="G63" s="175">
        <v>13</v>
      </c>
      <c r="H63" s="175">
        <v>362</v>
      </c>
      <c r="I63" s="175">
        <v>55</v>
      </c>
    </row>
    <row r="64" spans="1:10" s="55" customFormat="1" ht="12.95" customHeight="1">
      <c r="A64" s="298"/>
      <c r="B64" s="91"/>
      <c r="C64" s="91"/>
      <c r="D64" s="170">
        <v>2017</v>
      </c>
      <c r="E64" s="175">
        <f>SUM(F64:I64)</f>
        <v>448</v>
      </c>
      <c r="F64" s="175">
        <v>6</v>
      </c>
      <c r="G64" s="175">
        <v>20</v>
      </c>
      <c r="H64" s="175">
        <v>375</v>
      </c>
      <c r="I64" s="175">
        <v>47</v>
      </c>
    </row>
    <row r="65" spans="1:10" s="55" customFormat="1" ht="8.1" customHeight="1">
      <c r="A65" s="298"/>
      <c r="B65" s="91"/>
      <c r="C65" s="91"/>
      <c r="D65" s="170"/>
      <c r="E65" s="175"/>
      <c r="F65" s="175"/>
      <c r="G65" s="175"/>
      <c r="H65" s="175"/>
      <c r="I65" s="175"/>
    </row>
    <row r="66" spans="1:10" s="55" customFormat="1" ht="12.95" customHeight="1">
      <c r="A66" s="298"/>
      <c r="B66" s="91" t="s">
        <v>118</v>
      </c>
      <c r="C66" s="91"/>
      <c r="D66" s="170">
        <v>2015</v>
      </c>
      <c r="E66" s="175">
        <f>SUM(F66:I66)</f>
        <v>274</v>
      </c>
      <c r="F66" s="175">
        <v>4</v>
      </c>
      <c r="G66" s="175">
        <v>16</v>
      </c>
      <c r="H66" s="175">
        <v>205</v>
      </c>
      <c r="I66" s="175">
        <v>49</v>
      </c>
    </row>
    <row r="67" spans="1:10" s="55" customFormat="1" ht="12.95" customHeight="1">
      <c r="A67" s="298"/>
      <c r="B67" s="91"/>
      <c r="C67" s="91"/>
      <c r="D67" s="170">
        <v>2016</v>
      </c>
      <c r="E67" s="175">
        <f>SUM(F67:I67)</f>
        <v>305</v>
      </c>
      <c r="F67" s="175">
        <v>4</v>
      </c>
      <c r="G67" s="175">
        <v>20</v>
      </c>
      <c r="H67" s="175">
        <v>237</v>
      </c>
      <c r="I67" s="175">
        <v>44</v>
      </c>
    </row>
    <row r="68" spans="1:10" s="55" customFormat="1" ht="12.95" customHeight="1">
      <c r="A68" s="298"/>
      <c r="B68" s="91"/>
      <c r="C68" s="91"/>
      <c r="D68" s="170">
        <v>2017</v>
      </c>
      <c r="E68" s="175">
        <f>SUM(F68:I68)</f>
        <v>287</v>
      </c>
      <c r="F68" s="175">
        <v>3</v>
      </c>
      <c r="G68" s="175">
        <v>21</v>
      </c>
      <c r="H68" s="175">
        <v>203</v>
      </c>
      <c r="I68" s="175">
        <v>60</v>
      </c>
    </row>
    <row r="69" spans="1:10" s="55" customFormat="1" ht="8.1" customHeight="1">
      <c r="A69" s="298"/>
      <c r="B69" s="91"/>
      <c r="C69" s="91"/>
      <c r="D69" s="170"/>
      <c r="E69" s="175"/>
      <c r="F69" s="175"/>
      <c r="G69" s="175"/>
      <c r="H69" s="175"/>
      <c r="I69" s="175"/>
    </row>
    <row r="70" spans="1:10" s="55" customFormat="1" ht="12.95" customHeight="1">
      <c r="A70" s="298"/>
      <c r="B70" s="91" t="s">
        <v>119</v>
      </c>
      <c r="C70" s="91"/>
      <c r="D70" s="170">
        <v>2015</v>
      </c>
      <c r="E70" s="175">
        <f>SUM(F70:I70)</f>
        <v>336</v>
      </c>
      <c r="F70" s="175">
        <v>12</v>
      </c>
      <c r="G70" s="175">
        <v>20</v>
      </c>
      <c r="H70" s="175">
        <v>255</v>
      </c>
      <c r="I70" s="175">
        <v>49</v>
      </c>
    </row>
    <row r="71" spans="1:10" s="55" customFormat="1" ht="12.95" customHeight="1">
      <c r="A71" s="298"/>
      <c r="B71" s="91"/>
      <c r="C71" s="91"/>
      <c r="D71" s="170">
        <v>2016</v>
      </c>
      <c r="E71" s="175">
        <f>SUM(F71:I71)</f>
        <v>282</v>
      </c>
      <c r="F71" s="175">
        <v>8</v>
      </c>
      <c r="G71" s="175">
        <v>7</v>
      </c>
      <c r="H71" s="175">
        <v>219</v>
      </c>
      <c r="I71" s="175">
        <v>48</v>
      </c>
    </row>
    <row r="72" spans="1:10" s="55" customFormat="1" ht="12.95" customHeight="1">
      <c r="A72" s="298"/>
      <c r="B72" s="91"/>
      <c r="C72" s="91"/>
      <c r="D72" s="170">
        <v>2017</v>
      </c>
      <c r="E72" s="175">
        <f>SUM(F72:I72)</f>
        <v>219</v>
      </c>
      <c r="F72" s="175">
        <v>6</v>
      </c>
      <c r="G72" s="175">
        <v>12</v>
      </c>
      <c r="H72" s="175">
        <v>152</v>
      </c>
      <c r="I72" s="175">
        <v>49</v>
      </c>
    </row>
    <row r="73" spans="1:10" s="55" customFormat="1" ht="8.1" customHeight="1">
      <c r="A73" s="298"/>
      <c r="B73" s="91"/>
      <c r="C73" s="91"/>
      <c r="D73" s="170"/>
      <c r="E73" s="175"/>
      <c r="F73" s="175"/>
      <c r="G73" s="175"/>
      <c r="H73" s="175"/>
      <c r="I73" s="175"/>
    </row>
    <row r="74" spans="1:10" s="55" customFormat="1" ht="12.95" customHeight="1">
      <c r="A74" s="298"/>
      <c r="B74" s="91" t="s">
        <v>120</v>
      </c>
      <c r="C74" s="91"/>
      <c r="D74" s="170">
        <v>2015</v>
      </c>
      <c r="E74" s="175">
        <f>SUM(F74:I74)</f>
        <v>408</v>
      </c>
      <c r="F74" s="175">
        <v>9</v>
      </c>
      <c r="G74" s="175">
        <v>32</v>
      </c>
      <c r="H74" s="175">
        <v>322</v>
      </c>
      <c r="I74" s="175">
        <v>45</v>
      </c>
    </row>
    <row r="75" spans="1:10" s="55" customFormat="1" ht="12.95" customHeight="1">
      <c r="A75" s="298"/>
      <c r="B75" s="91"/>
      <c r="C75" s="91"/>
      <c r="D75" s="170">
        <v>2016</v>
      </c>
      <c r="E75" s="175">
        <f>SUM(F75:I75)</f>
        <v>369</v>
      </c>
      <c r="F75" s="175">
        <v>6</v>
      </c>
      <c r="G75" s="175">
        <v>27</v>
      </c>
      <c r="H75" s="175">
        <v>282</v>
      </c>
      <c r="I75" s="175">
        <v>54</v>
      </c>
    </row>
    <row r="76" spans="1:10" s="55" customFormat="1" ht="12.95" customHeight="1">
      <c r="A76" s="298"/>
      <c r="B76" s="91"/>
      <c r="C76" s="91"/>
      <c r="D76" s="170">
        <v>2017</v>
      </c>
      <c r="E76" s="175">
        <f>SUM(F76:I76)</f>
        <v>278</v>
      </c>
      <c r="F76" s="175">
        <v>6</v>
      </c>
      <c r="G76" s="175">
        <v>17</v>
      </c>
      <c r="H76" s="175">
        <v>192</v>
      </c>
      <c r="I76" s="175">
        <v>63</v>
      </c>
    </row>
    <row r="77" spans="1:10" s="55" customFormat="1" ht="8.1" customHeight="1" thickBot="1">
      <c r="A77" s="283"/>
      <c r="B77" s="284"/>
      <c r="C77" s="284"/>
      <c r="D77" s="284"/>
      <c r="E77" s="285"/>
      <c r="F77" s="286"/>
      <c r="G77" s="286"/>
      <c r="H77" s="286"/>
      <c r="I77" s="287"/>
      <c r="J77" s="283"/>
    </row>
    <row r="78" spans="1:10" s="55" customFormat="1" ht="12.75">
      <c r="B78" s="124"/>
      <c r="C78" s="124"/>
      <c r="D78" s="124"/>
      <c r="E78" s="70"/>
      <c r="F78" s="123"/>
      <c r="G78" s="123"/>
      <c r="H78" s="123"/>
      <c r="I78" s="265"/>
      <c r="J78" s="8" t="s">
        <v>104</v>
      </c>
    </row>
    <row r="79" spans="1:10" s="55" customFormat="1" ht="12.75">
      <c r="B79" s="124"/>
      <c r="C79" s="124"/>
      <c r="D79" s="124"/>
      <c r="E79" s="70"/>
      <c r="F79" s="123"/>
      <c r="G79" s="123"/>
      <c r="H79" s="123"/>
      <c r="I79" s="265"/>
      <c r="J79" s="41" t="s">
        <v>1</v>
      </c>
    </row>
    <row r="80" spans="1:10" s="55" customFormat="1" ht="12.95" customHeight="1">
      <c r="B80" s="124"/>
      <c r="C80" s="124"/>
      <c r="D80" s="124"/>
      <c r="E80" s="70"/>
      <c r="F80" s="123"/>
      <c r="G80" s="123"/>
      <c r="H80" s="123"/>
      <c r="I80" s="265"/>
    </row>
  </sheetData>
  <mergeCells count="7">
    <mergeCell ref="I11:I12"/>
    <mergeCell ref="B11:C12"/>
    <mergeCell ref="D11:D12"/>
    <mergeCell ref="E11:E12"/>
    <mergeCell ref="F11:F12"/>
    <mergeCell ref="G11:G12"/>
    <mergeCell ref="H11:H12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5" fitToWidth="0" orientation="portrait" r:id="rId1"/>
  <headerFooter>
    <oddHeader xml:space="preserve">&amp;R&amp;"-,Bold"
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J47"/>
  <sheetViews>
    <sheetView showGridLines="0" topLeftCell="A8" zoomScale="90" zoomScaleNormal="90" zoomScaleSheetLayoutView="100" workbookViewId="0">
      <selection activeCell="O30" sqref="O30"/>
    </sheetView>
  </sheetViews>
  <sheetFormatPr defaultRowHeight="15"/>
  <cols>
    <col min="1" max="1" width="1.85546875" style="2" customWidth="1"/>
    <col min="2" max="2" width="9.85546875" style="3" customWidth="1"/>
    <col min="3" max="3" width="10" style="3" customWidth="1"/>
    <col min="4" max="4" width="11.140625" style="3" customWidth="1"/>
    <col min="5" max="5" width="12.42578125" style="21" customWidth="1"/>
    <col min="6" max="8" width="12.42578125" style="22" customWidth="1"/>
    <col min="9" max="9" width="15.7109375" style="5" customWidth="1"/>
    <col min="10" max="10" width="0.85546875" style="2" customWidth="1"/>
    <col min="11" max="16384" width="9.140625" style="2"/>
  </cols>
  <sheetData>
    <row r="1" spans="1:10" ht="9.9499999999999993" customHeight="1">
      <c r="B1" s="3" t="s">
        <v>224</v>
      </c>
    </row>
    <row r="2" spans="1:10" s="30" customFormat="1" ht="12.95" customHeight="1">
      <c r="B2" s="27"/>
      <c r="C2" s="27"/>
      <c r="D2" s="29"/>
      <c r="E2" s="28"/>
      <c r="F2" s="29"/>
      <c r="I2" s="199" t="s">
        <v>188</v>
      </c>
      <c r="J2" s="29"/>
    </row>
    <row r="3" spans="1:10" s="30" customFormat="1" ht="12.95" customHeight="1">
      <c r="B3" s="27"/>
      <c r="C3" s="27"/>
      <c r="D3" s="29"/>
      <c r="E3" s="28"/>
      <c r="F3" s="29"/>
      <c r="I3" s="75" t="s">
        <v>189</v>
      </c>
      <c r="J3" s="29"/>
    </row>
    <row r="4" spans="1:10" s="30" customFormat="1" ht="12" customHeight="1">
      <c r="B4" s="27"/>
      <c r="C4" s="27"/>
      <c r="D4" s="29"/>
      <c r="E4" s="28"/>
      <c r="F4" s="29"/>
      <c r="G4" s="75"/>
      <c r="J4" s="29"/>
    </row>
    <row r="5" spans="1:10" s="30" customFormat="1" ht="12" customHeight="1">
      <c r="B5" s="27"/>
      <c r="C5" s="27"/>
      <c r="D5" s="29"/>
      <c r="E5" s="28"/>
      <c r="F5" s="29"/>
      <c r="G5" s="75"/>
      <c r="J5" s="29"/>
    </row>
    <row r="6" spans="1:10" s="55" customFormat="1" ht="9.75" customHeight="1">
      <c r="B6" s="124"/>
      <c r="C6" s="124"/>
      <c r="D6" s="265"/>
      <c r="E6" s="266"/>
      <c r="F6" s="265"/>
      <c r="G6" s="265"/>
      <c r="H6" s="267"/>
      <c r="I6" s="265"/>
      <c r="J6" s="123"/>
    </row>
    <row r="7" spans="1:10" s="55" customFormat="1" ht="15" customHeight="1">
      <c r="B7" s="88" t="s">
        <v>225</v>
      </c>
      <c r="C7" s="71" t="s">
        <v>230</v>
      </c>
      <c r="D7" s="124"/>
      <c r="E7" s="71"/>
      <c r="F7" s="71"/>
      <c r="G7" s="71"/>
      <c r="H7" s="71"/>
      <c r="I7" s="71"/>
      <c r="J7" s="71"/>
    </row>
    <row r="8" spans="1:10" s="72" customFormat="1" ht="15" customHeight="1">
      <c r="B8" s="89" t="s">
        <v>227</v>
      </c>
      <c r="C8" s="74" t="s">
        <v>231</v>
      </c>
      <c r="E8" s="74"/>
      <c r="F8" s="74"/>
      <c r="G8" s="74"/>
      <c r="H8" s="74"/>
      <c r="I8" s="74"/>
      <c r="J8" s="74"/>
    </row>
    <row r="9" spans="1:10" s="55" customFormat="1" ht="6.75" customHeight="1" thickBot="1">
      <c r="B9" s="124"/>
      <c r="C9" s="124"/>
      <c r="D9" s="124"/>
      <c r="E9" s="70"/>
      <c r="F9" s="123"/>
      <c r="G9" s="123"/>
      <c r="H9" s="123"/>
      <c r="I9" s="265"/>
    </row>
    <row r="10" spans="1:10" s="55" customFormat="1" ht="9.9499999999999993" customHeight="1" thickTop="1">
      <c r="A10" s="268"/>
      <c r="B10" s="269"/>
      <c r="C10" s="269"/>
      <c r="D10" s="270"/>
      <c r="E10" s="271"/>
      <c r="F10" s="272"/>
      <c r="G10" s="272"/>
      <c r="H10" s="272"/>
      <c r="I10" s="273"/>
      <c r="J10" s="268"/>
    </row>
    <row r="11" spans="1:10" s="55" customFormat="1" ht="21" customHeight="1">
      <c r="A11" s="249"/>
      <c r="B11" s="274" t="s">
        <v>229</v>
      </c>
      <c r="C11" s="274"/>
      <c r="D11" s="253" t="s">
        <v>100</v>
      </c>
      <c r="E11" s="253" t="s">
        <v>95</v>
      </c>
      <c r="F11" s="275" t="s">
        <v>207</v>
      </c>
      <c r="G11" s="275" t="s">
        <v>208</v>
      </c>
      <c r="H11" s="275" t="s">
        <v>209</v>
      </c>
      <c r="I11" s="275" t="s">
        <v>210</v>
      </c>
      <c r="J11" s="276"/>
    </row>
    <row r="12" spans="1:10" s="55" customFormat="1" ht="15.75" customHeight="1">
      <c r="A12" s="277"/>
      <c r="B12" s="278"/>
      <c r="C12" s="278"/>
      <c r="D12" s="259"/>
      <c r="E12" s="259"/>
      <c r="F12" s="279"/>
      <c r="G12" s="279"/>
      <c r="H12" s="279"/>
      <c r="I12" s="279"/>
      <c r="J12" s="56"/>
    </row>
    <row r="13" spans="1:10" s="55" customFormat="1" ht="6" customHeight="1">
      <c r="A13" s="125"/>
      <c r="B13" s="243"/>
      <c r="C13" s="243"/>
      <c r="D13" s="99"/>
      <c r="E13" s="99"/>
      <c r="F13" s="280"/>
      <c r="G13" s="280"/>
      <c r="H13" s="280"/>
      <c r="I13" s="280"/>
      <c r="J13" s="95"/>
    </row>
    <row r="14" spans="1:10" s="125" customFormat="1" ht="18" customHeight="1">
      <c r="A14" s="298"/>
      <c r="B14" s="133" t="s">
        <v>121</v>
      </c>
      <c r="C14" s="133"/>
      <c r="D14" s="69">
        <v>2015</v>
      </c>
      <c r="E14" s="174">
        <f>SUM(F14:I14)</f>
        <v>377</v>
      </c>
      <c r="F14" s="174">
        <v>8</v>
      </c>
      <c r="G14" s="174">
        <v>110</v>
      </c>
      <c r="H14" s="174">
        <v>125</v>
      </c>
      <c r="I14" s="174">
        <v>134</v>
      </c>
    </row>
    <row r="15" spans="1:10" s="125" customFormat="1" ht="18" customHeight="1">
      <c r="A15" s="298"/>
      <c r="B15" s="133"/>
      <c r="C15" s="133"/>
      <c r="D15" s="69">
        <v>2016</v>
      </c>
      <c r="E15" s="174">
        <f>SUM(F15:I15)</f>
        <v>407</v>
      </c>
      <c r="F15" s="174">
        <v>11</v>
      </c>
      <c r="G15" s="174">
        <v>81</v>
      </c>
      <c r="H15" s="174">
        <v>148</v>
      </c>
      <c r="I15" s="174">
        <v>167</v>
      </c>
    </row>
    <row r="16" spans="1:10" s="125" customFormat="1" ht="18" customHeight="1">
      <c r="A16" s="298"/>
      <c r="B16" s="133"/>
      <c r="C16" s="133"/>
      <c r="D16" s="69">
        <v>2017</v>
      </c>
      <c r="E16" s="174">
        <f>SUM(F16:I16)</f>
        <v>354</v>
      </c>
      <c r="F16" s="174">
        <f>F20+F36+F40</f>
        <v>5</v>
      </c>
      <c r="G16" s="174">
        <f t="shared" ref="G16:I16" si="0">G20+G24+G28+G32+G36+G40+G44</f>
        <v>64</v>
      </c>
      <c r="H16" s="174">
        <f t="shared" si="0"/>
        <v>155</v>
      </c>
      <c r="I16" s="174">
        <f t="shared" si="0"/>
        <v>130</v>
      </c>
    </row>
    <row r="17" spans="1:9" s="125" customFormat="1" ht="18" customHeight="1">
      <c r="A17" s="298"/>
      <c r="B17" s="133"/>
      <c r="C17" s="133"/>
      <c r="D17" s="69"/>
      <c r="E17" s="174"/>
      <c r="F17" s="174"/>
      <c r="G17" s="174"/>
      <c r="H17" s="174"/>
      <c r="I17" s="174"/>
    </row>
    <row r="18" spans="1:9" s="125" customFormat="1" ht="18" customHeight="1">
      <c r="A18" s="298"/>
      <c r="B18" s="91" t="s">
        <v>122</v>
      </c>
      <c r="C18" s="91"/>
      <c r="D18" s="170">
        <v>2015</v>
      </c>
      <c r="E18" s="175">
        <f>SUM(F18:I18)</f>
        <v>58</v>
      </c>
      <c r="F18" s="175" t="s">
        <v>51</v>
      </c>
      <c r="G18" s="175">
        <v>23</v>
      </c>
      <c r="H18" s="175">
        <v>15</v>
      </c>
      <c r="I18" s="175">
        <v>20</v>
      </c>
    </row>
    <row r="19" spans="1:9" s="125" customFormat="1" ht="18" customHeight="1">
      <c r="A19" s="298"/>
      <c r="B19" s="91"/>
      <c r="C19" s="91"/>
      <c r="D19" s="170">
        <v>2016</v>
      </c>
      <c r="E19" s="175">
        <f>SUM(F19:I19)</f>
        <v>87</v>
      </c>
      <c r="F19" s="175">
        <v>1</v>
      </c>
      <c r="G19" s="175">
        <v>13</v>
      </c>
      <c r="H19" s="175">
        <v>25</v>
      </c>
      <c r="I19" s="175">
        <v>48</v>
      </c>
    </row>
    <row r="20" spans="1:9" s="125" customFormat="1" ht="18" customHeight="1">
      <c r="A20" s="298"/>
      <c r="B20" s="91"/>
      <c r="C20" s="91"/>
      <c r="D20" s="170">
        <v>2017</v>
      </c>
      <c r="E20" s="175">
        <f>SUM(F20:I20)</f>
        <v>88</v>
      </c>
      <c r="F20" s="175">
        <v>3</v>
      </c>
      <c r="G20" s="175">
        <v>9</v>
      </c>
      <c r="H20" s="175">
        <v>41</v>
      </c>
      <c r="I20" s="175">
        <v>35</v>
      </c>
    </row>
    <row r="21" spans="1:9" s="125" customFormat="1" ht="18" customHeight="1">
      <c r="A21" s="298"/>
      <c r="B21" s="91"/>
      <c r="C21" s="91"/>
      <c r="D21" s="170"/>
      <c r="E21" s="175"/>
      <c r="F21" s="175"/>
      <c r="G21" s="175"/>
      <c r="H21" s="175"/>
      <c r="I21" s="175"/>
    </row>
    <row r="22" spans="1:9" s="125" customFormat="1" ht="18" customHeight="1">
      <c r="A22" s="298"/>
      <c r="B22" s="91" t="s">
        <v>123</v>
      </c>
      <c r="C22" s="91"/>
      <c r="D22" s="170">
        <v>2015</v>
      </c>
      <c r="E22" s="175">
        <f>SUM(F22:I22)</f>
        <v>72</v>
      </c>
      <c r="F22" s="175">
        <v>2</v>
      </c>
      <c r="G22" s="175">
        <v>13</v>
      </c>
      <c r="H22" s="175">
        <v>41</v>
      </c>
      <c r="I22" s="175">
        <v>16</v>
      </c>
    </row>
    <row r="23" spans="1:9" s="125" customFormat="1" ht="18" customHeight="1">
      <c r="A23" s="298"/>
      <c r="B23" s="91"/>
      <c r="C23" s="91"/>
      <c r="D23" s="170">
        <v>2016</v>
      </c>
      <c r="E23" s="175">
        <f>SUM(F23:I23)</f>
        <v>83</v>
      </c>
      <c r="F23" s="175">
        <v>3</v>
      </c>
      <c r="G23" s="175">
        <v>12</v>
      </c>
      <c r="H23" s="175">
        <v>29</v>
      </c>
      <c r="I23" s="175">
        <v>39</v>
      </c>
    </row>
    <row r="24" spans="1:9" s="125" customFormat="1" ht="18" customHeight="1">
      <c r="A24" s="298"/>
      <c r="B24" s="91"/>
      <c r="C24" s="91"/>
      <c r="D24" s="170">
        <v>2017</v>
      </c>
      <c r="E24" s="175">
        <f>SUM(F24:I24)</f>
        <v>56</v>
      </c>
      <c r="F24" s="173" t="s">
        <v>51</v>
      </c>
      <c r="G24" s="175">
        <v>10</v>
      </c>
      <c r="H24" s="175">
        <v>19</v>
      </c>
      <c r="I24" s="175">
        <v>27</v>
      </c>
    </row>
    <row r="25" spans="1:9" s="125" customFormat="1" ht="18" customHeight="1">
      <c r="A25" s="298"/>
      <c r="B25" s="91"/>
      <c r="C25" s="91"/>
      <c r="D25" s="170"/>
      <c r="E25" s="175"/>
      <c r="F25" s="173"/>
      <c r="G25" s="175"/>
      <c r="H25" s="175"/>
      <c r="I25" s="175"/>
    </row>
    <row r="26" spans="1:9" s="125" customFormat="1" ht="18" customHeight="1">
      <c r="A26" s="298"/>
      <c r="B26" s="91" t="s">
        <v>124</v>
      </c>
      <c r="C26" s="91"/>
      <c r="D26" s="170">
        <v>2015</v>
      </c>
      <c r="E26" s="175">
        <f>SUM(F26:I26)</f>
        <v>12</v>
      </c>
      <c r="F26" s="175">
        <v>1</v>
      </c>
      <c r="G26" s="175">
        <v>6</v>
      </c>
      <c r="H26" s="175" t="s">
        <v>51</v>
      </c>
      <c r="I26" s="175">
        <v>5</v>
      </c>
    </row>
    <row r="27" spans="1:9" s="125" customFormat="1" ht="18" customHeight="1">
      <c r="A27" s="298"/>
      <c r="B27" s="91"/>
      <c r="C27" s="91"/>
      <c r="D27" s="170">
        <v>2016</v>
      </c>
      <c r="E27" s="175">
        <f>SUM(F27:I27)</f>
        <v>26</v>
      </c>
      <c r="F27" s="175" t="s">
        <v>51</v>
      </c>
      <c r="G27" s="175">
        <v>5</v>
      </c>
      <c r="H27" s="175">
        <v>9</v>
      </c>
      <c r="I27" s="175">
        <v>12</v>
      </c>
    </row>
    <row r="28" spans="1:9" s="125" customFormat="1" ht="18" customHeight="1">
      <c r="A28" s="298"/>
      <c r="B28" s="91"/>
      <c r="C28" s="91"/>
      <c r="D28" s="170">
        <v>2017</v>
      </c>
      <c r="E28" s="175">
        <f>SUM(F28:I28)</f>
        <v>20</v>
      </c>
      <c r="F28" s="173" t="s">
        <v>51</v>
      </c>
      <c r="G28" s="175">
        <v>5</v>
      </c>
      <c r="H28" s="175">
        <v>4</v>
      </c>
      <c r="I28" s="175">
        <v>11</v>
      </c>
    </row>
    <row r="29" spans="1:9" s="125" customFormat="1" ht="18" customHeight="1">
      <c r="A29" s="298"/>
      <c r="B29" s="91"/>
      <c r="C29" s="91"/>
      <c r="D29" s="170"/>
      <c r="E29" s="175"/>
      <c r="F29" s="173"/>
      <c r="G29" s="175"/>
      <c r="H29" s="175"/>
      <c r="I29" s="175"/>
    </row>
    <row r="30" spans="1:9" s="125" customFormat="1" ht="18" customHeight="1">
      <c r="A30" s="298"/>
      <c r="B30" s="91" t="s">
        <v>125</v>
      </c>
      <c r="C30" s="91"/>
      <c r="D30" s="170">
        <v>2015</v>
      </c>
      <c r="E30" s="175">
        <f>SUM(F30:I30)</f>
        <v>57</v>
      </c>
      <c r="F30" s="175">
        <v>1</v>
      </c>
      <c r="G30" s="175">
        <v>16</v>
      </c>
      <c r="H30" s="175">
        <v>5</v>
      </c>
      <c r="I30" s="175">
        <v>35</v>
      </c>
    </row>
    <row r="31" spans="1:9" s="125" customFormat="1" ht="18" customHeight="1">
      <c r="A31" s="298"/>
      <c r="B31" s="91"/>
      <c r="C31" s="91"/>
      <c r="D31" s="170">
        <v>2016</v>
      </c>
      <c r="E31" s="175">
        <f>SUM(F31:I31)</f>
        <v>56</v>
      </c>
      <c r="F31" s="175">
        <v>4</v>
      </c>
      <c r="G31" s="175">
        <v>14</v>
      </c>
      <c r="H31" s="175">
        <v>26</v>
      </c>
      <c r="I31" s="175">
        <v>12</v>
      </c>
    </row>
    <row r="32" spans="1:9" s="125" customFormat="1" ht="18" customHeight="1">
      <c r="A32" s="298"/>
      <c r="B32" s="91"/>
      <c r="C32" s="91"/>
      <c r="D32" s="170">
        <v>2017</v>
      </c>
      <c r="E32" s="175">
        <f>SUM(F32:I32)</f>
        <v>43</v>
      </c>
      <c r="F32" s="173" t="s">
        <v>51</v>
      </c>
      <c r="G32" s="175">
        <v>10</v>
      </c>
      <c r="H32" s="175">
        <v>23</v>
      </c>
      <c r="I32" s="175">
        <v>10</v>
      </c>
    </row>
    <row r="33" spans="1:10" s="125" customFormat="1" ht="18" customHeight="1">
      <c r="A33" s="298"/>
      <c r="B33" s="91"/>
      <c r="C33" s="91"/>
      <c r="D33" s="170"/>
      <c r="E33" s="175"/>
      <c r="F33" s="173"/>
      <c r="G33" s="175"/>
      <c r="H33" s="175"/>
      <c r="I33" s="175"/>
    </row>
    <row r="34" spans="1:10" s="125" customFormat="1" ht="18" customHeight="1">
      <c r="A34" s="298"/>
      <c r="B34" s="91" t="s">
        <v>126</v>
      </c>
      <c r="C34" s="91"/>
      <c r="D34" s="170">
        <v>2015</v>
      </c>
      <c r="E34" s="175">
        <f>SUM(F34:I34)</f>
        <v>114</v>
      </c>
      <c r="F34" s="175">
        <v>3</v>
      </c>
      <c r="G34" s="175">
        <v>28</v>
      </c>
      <c r="H34" s="175">
        <v>50</v>
      </c>
      <c r="I34" s="175">
        <v>33</v>
      </c>
    </row>
    <row r="35" spans="1:10" s="125" customFormat="1" ht="18" customHeight="1">
      <c r="A35" s="298"/>
      <c r="B35" s="91"/>
      <c r="C35" s="91"/>
      <c r="D35" s="170">
        <v>2016</v>
      </c>
      <c r="E35" s="175">
        <f>SUM(F35:I35)</f>
        <v>99</v>
      </c>
      <c r="F35" s="175">
        <v>1</v>
      </c>
      <c r="G35" s="175">
        <v>16</v>
      </c>
      <c r="H35" s="175">
        <v>46</v>
      </c>
      <c r="I35" s="175">
        <v>36</v>
      </c>
    </row>
    <row r="36" spans="1:10" s="125" customFormat="1" ht="18" customHeight="1">
      <c r="A36" s="298"/>
      <c r="B36" s="91"/>
      <c r="C36" s="91"/>
      <c r="D36" s="170">
        <v>2017</v>
      </c>
      <c r="E36" s="175">
        <f>SUM(F36:I36)</f>
        <v>97</v>
      </c>
      <c r="F36" s="175">
        <v>1</v>
      </c>
      <c r="G36" s="175">
        <v>20</v>
      </c>
      <c r="H36" s="175">
        <v>50</v>
      </c>
      <c r="I36" s="175">
        <v>26</v>
      </c>
    </row>
    <row r="37" spans="1:10" s="125" customFormat="1" ht="18" customHeight="1">
      <c r="A37" s="298"/>
      <c r="B37" s="91"/>
      <c r="C37" s="91"/>
      <c r="D37" s="170"/>
      <c r="E37" s="175"/>
      <c r="F37" s="175"/>
      <c r="G37" s="175"/>
      <c r="H37" s="175"/>
      <c r="I37" s="175"/>
    </row>
    <row r="38" spans="1:10" s="282" customFormat="1" ht="18" customHeight="1">
      <c r="A38" s="298"/>
      <c r="B38" s="91" t="s">
        <v>127</v>
      </c>
      <c r="C38" s="91"/>
      <c r="D38" s="170">
        <v>2015</v>
      </c>
      <c r="E38" s="175">
        <f>SUM(F38:I38)</f>
        <v>45</v>
      </c>
      <c r="F38" s="175">
        <v>1</v>
      </c>
      <c r="G38" s="175">
        <v>14</v>
      </c>
      <c r="H38" s="175">
        <v>12</v>
      </c>
      <c r="I38" s="175">
        <v>18</v>
      </c>
      <c r="J38" s="125"/>
    </row>
    <row r="39" spans="1:10" s="125" customFormat="1" ht="18" customHeight="1">
      <c r="A39" s="298"/>
      <c r="B39" s="91"/>
      <c r="C39" s="91"/>
      <c r="D39" s="170">
        <v>2016</v>
      </c>
      <c r="E39" s="175">
        <f>SUM(F39:I39)</f>
        <v>42</v>
      </c>
      <c r="F39" s="175">
        <v>1</v>
      </c>
      <c r="G39" s="175">
        <v>16</v>
      </c>
      <c r="H39" s="175">
        <v>11</v>
      </c>
      <c r="I39" s="175">
        <v>14</v>
      </c>
    </row>
    <row r="40" spans="1:10" s="125" customFormat="1" ht="18" customHeight="1">
      <c r="A40" s="298"/>
      <c r="B40" s="91"/>
      <c r="C40" s="91"/>
      <c r="D40" s="170">
        <v>2017</v>
      </c>
      <c r="E40" s="175">
        <f>SUM(F40:I40)</f>
        <v>29</v>
      </c>
      <c r="F40" s="175">
        <v>1</v>
      </c>
      <c r="G40" s="175">
        <v>5</v>
      </c>
      <c r="H40" s="175">
        <v>11</v>
      </c>
      <c r="I40" s="175">
        <v>12</v>
      </c>
    </row>
    <row r="41" spans="1:10" s="125" customFormat="1" ht="18" customHeight="1">
      <c r="A41" s="298"/>
      <c r="B41" s="91"/>
      <c r="C41" s="91"/>
      <c r="D41" s="170"/>
      <c r="E41" s="175"/>
      <c r="F41" s="175"/>
      <c r="G41" s="175"/>
      <c r="H41" s="175"/>
      <c r="I41" s="175"/>
    </row>
    <row r="42" spans="1:10" s="125" customFormat="1" ht="18" customHeight="1">
      <c r="A42" s="298"/>
      <c r="B42" s="91" t="s">
        <v>128</v>
      </c>
      <c r="C42" s="91"/>
      <c r="D42" s="170">
        <v>2015</v>
      </c>
      <c r="E42" s="175">
        <f>SUM(F42:I42)</f>
        <v>19</v>
      </c>
      <c r="F42" s="175" t="s">
        <v>51</v>
      </c>
      <c r="G42" s="175">
        <v>10</v>
      </c>
      <c r="H42" s="175">
        <v>2</v>
      </c>
      <c r="I42" s="175">
        <v>7</v>
      </c>
    </row>
    <row r="43" spans="1:10" s="125" customFormat="1" ht="18" customHeight="1">
      <c r="A43" s="298"/>
      <c r="B43" s="91"/>
      <c r="C43" s="91"/>
      <c r="D43" s="170">
        <v>2016</v>
      </c>
      <c r="E43" s="175">
        <f>SUM(F43:I43)</f>
        <v>14</v>
      </c>
      <c r="F43" s="175">
        <v>1</v>
      </c>
      <c r="G43" s="175">
        <v>5</v>
      </c>
      <c r="H43" s="175">
        <v>2</v>
      </c>
      <c r="I43" s="175">
        <v>6</v>
      </c>
    </row>
    <row r="44" spans="1:10" s="125" customFormat="1" ht="18" customHeight="1">
      <c r="A44" s="298"/>
      <c r="B44" s="91"/>
      <c r="C44" s="91"/>
      <c r="D44" s="170">
        <v>2017</v>
      </c>
      <c r="E44" s="175">
        <f>SUM(F44:I44)</f>
        <v>21</v>
      </c>
      <c r="F44" s="173" t="s">
        <v>51</v>
      </c>
      <c r="G44" s="175">
        <v>5</v>
      </c>
      <c r="H44" s="175">
        <v>7</v>
      </c>
      <c r="I44" s="175">
        <v>9</v>
      </c>
    </row>
    <row r="45" spans="1:10" s="55" customFormat="1" ht="8.1" customHeight="1" thickBot="1">
      <c r="A45" s="283"/>
      <c r="B45" s="284"/>
      <c r="C45" s="284"/>
      <c r="D45" s="284"/>
      <c r="E45" s="285"/>
      <c r="F45" s="286"/>
      <c r="G45" s="286"/>
      <c r="H45" s="286"/>
      <c r="I45" s="287"/>
      <c r="J45" s="283"/>
    </row>
    <row r="46" spans="1:10" s="19" customFormat="1" ht="12">
      <c r="B46" s="105"/>
      <c r="C46" s="105"/>
      <c r="D46" s="105"/>
      <c r="E46" s="106"/>
      <c r="F46" s="107"/>
      <c r="G46" s="107"/>
      <c r="H46" s="107"/>
      <c r="I46" s="309"/>
      <c r="J46" s="8" t="s">
        <v>104</v>
      </c>
    </row>
    <row r="47" spans="1:10" s="19" customFormat="1" ht="12">
      <c r="B47" s="105"/>
      <c r="C47" s="105"/>
      <c r="D47" s="105"/>
      <c r="E47" s="106"/>
      <c r="F47" s="107"/>
      <c r="G47" s="107"/>
      <c r="H47" s="107"/>
      <c r="I47" s="309"/>
      <c r="J47" s="41" t="s">
        <v>1</v>
      </c>
    </row>
  </sheetData>
  <mergeCells count="7">
    <mergeCell ref="I11:I12"/>
    <mergeCell ref="B11:C12"/>
    <mergeCell ref="D11:D12"/>
    <mergeCell ref="E11:E12"/>
    <mergeCell ref="F11:F12"/>
    <mergeCell ref="G11:G12"/>
    <mergeCell ref="H11:H12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5" fitToWidth="0" orientation="portrait" r:id="rId1"/>
  <headerFooter>
    <oddHeader xml:space="preserve">&amp;R&amp;"-,Bold"
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J46"/>
  <sheetViews>
    <sheetView showGridLines="0" topLeftCell="A6" zoomScale="90" zoomScaleNormal="90" zoomScaleSheetLayoutView="100" workbookViewId="0">
      <selection activeCell="O30" sqref="O30"/>
    </sheetView>
  </sheetViews>
  <sheetFormatPr defaultRowHeight="15"/>
  <cols>
    <col min="1" max="1" width="1.42578125" style="2" customWidth="1"/>
    <col min="2" max="3" width="10" style="3" customWidth="1"/>
    <col min="4" max="4" width="10.140625" style="3" customWidth="1"/>
    <col min="5" max="5" width="12.7109375" style="4" customWidth="1"/>
    <col min="6" max="7" width="12.7109375" style="5" customWidth="1"/>
    <col min="8" max="8" width="12.7109375" style="261" customWidth="1"/>
    <col min="9" max="9" width="15.42578125" style="5" customWidth="1"/>
    <col min="10" max="10" width="0.85546875" style="2" customWidth="1"/>
    <col min="11" max="16384" width="9.140625" style="2"/>
  </cols>
  <sheetData>
    <row r="1" spans="1:10" ht="9.9499999999999993" customHeight="1">
      <c r="B1" s="3" t="s">
        <v>224</v>
      </c>
      <c r="E1" s="21"/>
      <c r="F1" s="22"/>
      <c r="G1" s="22"/>
      <c r="H1" s="22"/>
    </row>
    <row r="2" spans="1:10" s="30" customFormat="1" ht="12.95" customHeight="1">
      <c r="B2" s="27"/>
      <c r="C2" s="27"/>
      <c r="D2" s="29"/>
      <c r="E2" s="28"/>
      <c r="F2" s="29"/>
      <c r="I2" s="199" t="s">
        <v>188</v>
      </c>
      <c r="J2" s="29"/>
    </row>
    <row r="3" spans="1:10" s="30" customFormat="1" ht="12.95" customHeight="1">
      <c r="B3" s="27"/>
      <c r="C3" s="27"/>
      <c r="D3" s="29"/>
      <c r="E3" s="28"/>
      <c r="F3" s="29"/>
      <c r="I3" s="75" t="s">
        <v>189</v>
      </c>
      <c r="J3" s="29"/>
    </row>
    <row r="4" spans="1:10" s="30" customFormat="1" ht="12" customHeight="1">
      <c r="B4" s="27"/>
      <c r="C4" s="27"/>
      <c r="D4" s="29"/>
      <c r="E4" s="28"/>
      <c r="F4" s="29"/>
      <c r="G4" s="75"/>
      <c r="J4" s="29"/>
    </row>
    <row r="5" spans="1:10" s="30" customFormat="1" ht="12" customHeight="1">
      <c r="B5" s="27"/>
      <c r="C5" s="27"/>
      <c r="D5" s="29"/>
      <c r="E5" s="28"/>
      <c r="F5" s="29"/>
      <c r="G5" s="75"/>
      <c r="J5" s="29"/>
    </row>
    <row r="6" spans="1:10" s="55" customFormat="1" ht="9.75" customHeight="1">
      <c r="B6" s="124"/>
      <c r="C6" s="124"/>
      <c r="D6" s="265"/>
      <c r="E6" s="266"/>
      <c r="F6" s="265"/>
      <c r="G6" s="265"/>
      <c r="H6" s="267"/>
      <c r="I6" s="265"/>
      <c r="J6" s="123"/>
    </row>
    <row r="7" spans="1:10" s="55" customFormat="1" ht="15" customHeight="1">
      <c r="B7" s="88" t="s">
        <v>225</v>
      </c>
      <c r="C7" s="71" t="s">
        <v>230</v>
      </c>
      <c r="D7" s="124"/>
      <c r="E7" s="71"/>
      <c r="F7" s="71"/>
      <c r="G7" s="71"/>
      <c r="H7" s="71"/>
      <c r="I7" s="71"/>
      <c r="J7" s="71"/>
    </row>
    <row r="8" spans="1:10" s="72" customFormat="1" ht="15" customHeight="1">
      <c r="B8" s="89" t="s">
        <v>227</v>
      </c>
      <c r="C8" s="74" t="s">
        <v>231</v>
      </c>
      <c r="E8" s="74"/>
      <c r="F8" s="74"/>
      <c r="G8" s="74"/>
      <c r="H8" s="74"/>
      <c r="I8" s="74"/>
      <c r="J8" s="74"/>
    </row>
    <row r="9" spans="1:10" s="55" customFormat="1" ht="6.75" customHeight="1" thickBot="1">
      <c r="B9" s="124"/>
      <c r="C9" s="124"/>
      <c r="D9" s="124"/>
      <c r="E9" s="70"/>
      <c r="F9" s="123"/>
      <c r="G9" s="123"/>
      <c r="H9" s="123"/>
      <c r="I9" s="265"/>
    </row>
    <row r="10" spans="1:10" s="55" customFormat="1" ht="9.9499999999999993" customHeight="1" thickTop="1">
      <c r="A10" s="268"/>
      <c r="B10" s="269"/>
      <c r="C10" s="269"/>
      <c r="D10" s="270"/>
      <c r="E10" s="271"/>
      <c r="F10" s="272"/>
      <c r="G10" s="272"/>
      <c r="H10" s="272"/>
      <c r="I10" s="273"/>
      <c r="J10" s="268"/>
    </row>
    <row r="11" spans="1:10" s="55" customFormat="1" ht="21" customHeight="1">
      <c r="A11" s="249"/>
      <c r="B11" s="274" t="s">
        <v>229</v>
      </c>
      <c r="C11" s="274"/>
      <c r="D11" s="253" t="s">
        <v>100</v>
      </c>
      <c r="E11" s="253" t="s">
        <v>95</v>
      </c>
      <c r="F11" s="275" t="s">
        <v>207</v>
      </c>
      <c r="G11" s="275" t="s">
        <v>208</v>
      </c>
      <c r="H11" s="275" t="s">
        <v>209</v>
      </c>
      <c r="I11" s="275" t="s">
        <v>210</v>
      </c>
      <c r="J11" s="276"/>
    </row>
    <row r="12" spans="1:10" s="55" customFormat="1" ht="15.75" customHeight="1">
      <c r="A12" s="277"/>
      <c r="B12" s="278"/>
      <c r="C12" s="278"/>
      <c r="D12" s="259"/>
      <c r="E12" s="259"/>
      <c r="F12" s="279"/>
      <c r="G12" s="279"/>
      <c r="H12" s="279"/>
      <c r="I12" s="279"/>
      <c r="J12" s="56"/>
    </row>
    <row r="13" spans="1:10" s="55" customFormat="1" ht="6" customHeight="1">
      <c r="A13" s="125"/>
      <c r="B13" s="243"/>
      <c r="C13" s="243"/>
      <c r="D13" s="99"/>
      <c r="E13" s="99"/>
      <c r="F13" s="280"/>
      <c r="G13" s="280"/>
      <c r="H13" s="280"/>
      <c r="I13" s="280"/>
      <c r="J13" s="95"/>
    </row>
    <row r="14" spans="1:10" s="55" customFormat="1" ht="17.100000000000001" customHeight="1">
      <c r="A14" s="298"/>
      <c r="B14" s="133" t="s">
        <v>183</v>
      </c>
      <c r="C14" s="133"/>
      <c r="D14" s="118">
        <v>2015</v>
      </c>
      <c r="E14" s="174">
        <f>SUM(F14:I14)</f>
        <v>3672</v>
      </c>
      <c r="F14" s="174">
        <v>35</v>
      </c>
      <c r="G14" s="174">
        <v>123</v>
      </c>
      <c r="H14" s="174">
        <v>2789</v>
      </c>
      <c r="I14" s="174">
        <v>725</v>
      </c>
    </row>
    <row r="15" spans="1:10" s="111" customFormat="1" ht="17.100000000000001" customHeight="1">
      <c r="A15" s="298"/>
      <c r="B15" s="133"/>
      <c r="C15" s="133"/>
      <c r="D15" s="118">
        <v>2016</v>
      </c>
      <c r="E15" s="174">
        <f>SUM(F15:I15)</f>
        <v>3776</v>
      </c>
      <c r="F15" s="174">
        <v>41</v>
      </c>
      <c r="G15" s="174">
        <v>93</v>
      </c>
      <c r="H15" s="174">
        <v>2999</v>
      </c>
      <c r="I15" s="174">
        <v>643</v>
      </c>
    </row>
    <row r="16" spans="1:10" s="111" customFormat="1" ht="17.100000000000001" customHeight="1">
      <c r="A16" s="298"/>
      <c r="B16" s="133"/>
      <c r="C16" s="133"/>
      <c r="D16" s="118">
        <v>2017</v>
      </c>
      <c r="E16" s="174">
        <f>SUM(F16:I16)</f>
        <v>3999</v>
      </c>
      <c r="F16" s="174">
        <f>F20+F24+F28+F32+F36</f>
        <v>37</v>
      </c>
      <c r="G16" s="174">
        <f t="shared" ref="G16:I16" si="0">G20+G24+G28+G32+G36+G40</f>
        <v>132</v>
      </c>
      <c r="H16" s="174">
        <f t="shared" si="0"/>
        <v>3179</v>
      </c>
      <c r="I16" s="174">
        <f t="shared" si="0"/>
        <v>651</v>
      </c>
    </row>
    <row r="17" spans="1:9" s="111" customFormat="1" ht="17.100000000000001" customHeight="1">
      <c r="A17" s="298"/>
      <c r="B17" s="133"/>
      <c r="C17" s="133"/>
      <c r="D17" s="118"/>
      <c r="E17" s="174"/>
      <c r="F17" s="174"/>
      <c r="G17" s="174"/>
      <c r="H17" s="174"/>
      <c r="I17" s="174"/>
    </row>
    <row r="18" spans="1:9" s="111" customFormat="1" ht="17.100000000000001" customHeight="1">
      <c r="A18" s="298"/>
      <c r="B18" s="91" t="s">
        <v>81</v>
      </c>
      <c r="C18" s="91"/>
      <c r="D18" s="117">
        <v>2015</v>
      </c>
      <c r="E18" s="175">
        <f>SUM(F18:I18)</f>
        <v>597</v>
      </c>
      <c r="F18" s="175">
        <v>2</v>
      </c>
      <c r="G18" s="175">
        <v>16</v>
      </c>
      <c r="H18" s="175">
        <v>471</v>
      </c>
      <c r="I18" s="175">
        <v>108</v>
      </c>
    </row>
    <row r="19" spans="1:9" s="111" customFormat="1" ht="17.100000000000001" customHeight="1">
      <c r="A19" s="298"/>
      <c r="B19" s="91"/>
      <c r="C19" s="91"/>
      <c r="D19" s="117">
        <v>2016</v>
      </c>
      <c r="E19" s="175">
        <f>SUM(F19:I19)</f>
        <v>608</v>
      </c>
      <c r="F19" s="175">
        <v>6</v>
      </c>
      <c r="G19" s="175">
        <v>13</v>
      </c>
      <c r="H19" s="175">
        <v>535</v>
      </c>
      <c r="I19" s="175">
        <v>54</v>
      </c>
    </row>
    <row r="20" spans="1:9" s="111" customFormat="1" ht="17.100000000000001" customHeight="1">
      <c r="A20" s="298"/>
      <c r="B20" s="91"/>
      <c r="C20" s="91"/>
      <c r="D20" s="117">
        <v>2017</v>
      </c>
      <c r="E20" s="175">
        <f>SUM(F20:I20)</f>
        <v>579</v>
      </c>
      <c r="F20" s="175">
        <v>2</v>
      </c>
      <c r="G20" s="175">
        <v>24</v>
      </c>
      <c r="H20" s="175">
        <v>484</v>
      </c>
      <c r="I20" s="175">
        <v>69</v>
      </c>
    </row>
    <row r="21" spans="1:9" s="111" customFormat="1" ht="17.100000000000001" customHeight="1">
      <c r="A21" s="298"/>
      <c r="B21" s="91"/>
      <c r="C21" s="91"/>
      <c r="D21" s="117"/>
      <c r="E21" s="175"/>
      <c r="F21" s="175"/>
      <c r="G21" s="175"/>
      <c r="H21" s="175"/>
      <c r="I21" s="175"/>
    </row>
    <row r="22" spans="1:9" s="111" customFormat="1" ht="17.100000000000001" customHeight="1">
      <c r="A22" s="298"/>
      <c r="B22" s="91" t="s">
        <v>82</v>
      </c>
      <c r="C22" s="91"/>
      <c r="D22" s="117">
        <v>2015</v>
      </c>
      <c r="E22" s="175">
        <f>SUM(F22:I22)</f>
        <v>564</v>
      </c>
      <c r="F22" s="175">
        <v>8</v>
      </c>
      <c r="G22" s="175">
        <v>33</v>
      </c>
      <c r="H22" s="175">
        <v>438</v>
      </c>
      <c r="I22" s="175">
        <v>85</v>
      </c>
    </row>
    <row r="23" spans="1:9" s="55" customFormat="1" ht="17.100000000000001" customHeight="1">
      <c r="A23" s="298"/>
      <c r="B23" s="91"/>
      <c r="C23" s="91"/>
      <c r="D23" s="117">
        <v>2016</v>
      </c>
      <c r="E23" s="175">
        <f>SUM(F23:I23)</f>
        <v>460</v>
      </c>
      <c r="F23" s="175">
        <v>7</v>
      </c>
      <c r="G23" s="175">
        <v>8</v>
      </c>
      <c r="H23" s="175">
        <v>356</v>
      </c>
      <c r="I23" s="175">
        <v>89</v>
      </c>
    </row>
    <row r="24" spans="1:9" s="55" customFormat="1" ht="17.100000000000001" customHeight="1">
      <c r="A24" s="298"/>
      <c r="B24" s="91"/>
      <c r="C24" s="91"/>
      <c r="D24" s="117">
        <v>2017</v>
      </c>
      <c r="E24" s="175">
        <f>SUM(F24:I24)</f>
        <v>472</v>
      </c>
      <c r="F24" s="175">
        <v>5</v>
      </c>
      <c r="G24" s="175">
        <v>23</v>
      </c>
      <c r="H24" s="175">
        <v>361</v>
      </c>
      <c r="I24" s="175">
        <v>83</v>
      </c>
    </row>
    <row r="25" spans="1:9" s="55" customFormat="1" ht="17.100000000000001" customHeight="1">
      <c r="A25" s="298"/>
      <c r="B25" s="91"/>
      <c r="C25" s="91"/>
      <c r="D25" s="117"/>
      <c r="E25" s="175"/>
      <c r="F25" s="175"/>
      <c r="G25" s="175"/>
      <c r="H25" s="175"/>
      <c r="I25" s="175"/>
    </row>
    <row r="26" spans="1:9" s="55" customFormat="1" ht="17.100000000000001" customHeight="1">
      <c r="A26" s="298"/>
      <c r="B26" s="91" t="s">
        <v>83</v>
      </c>
      <c r="C26" s="91"/>
      <c r="D26" s="117">
        <v>2015</v>
      </c>
      <c r="E26" s="175">
        <f>SUM(F26:I26)</f>
        <v>1001</v>
      </c>
      <c r="F26" s="175">
        <v>9</v>
      </c>
      <c r="G26" s="175">
        <v>22</v>
      </c>
      <c r="H26" s="175">
        <v>781</v>
      </c>
      <c r="I26" s="175">
        <v>189</v>
      </c>
    </row>
    <row r="27" spans="1:9" s="55" customFormat="1" ht="17.100000000000001" customHeight="1">
      <c r="A27" s="298"/>
      <c r="B27" s="91"/>
      <c r="C27" s="91"/>
      <c r="D27" s="117">
        <v>2016</v>
      </c>
      <c r="E27" s="175">
        <f>SUM(F27:I27)</f>
        <v>1064</v>
      </c>
      <c r="F27" s="175">
        <v>6</v>
      </c>
      <c r="G27" s="175">
        <v>25</v>
      </c>
      <c r="H27" s="175">
        <v>832</v>
      </c>
      <c r="I27" s="175">
        <v>201</v>
      </c>
    </row>
    <row r="28" spans="1:9" s="55" customFormat="1" ht="17.100000000000001" customHeight="1">
      <c r="A28" s="298"/>
      <c r="B28" s="91"/>
      <c r="C28" s="91"/>
      <c r="D28" s="117">
        <v>2017</v>
      </c>
      <c r="E28" s="175">
        <f>SUM(F28:I28)</f>
        <v>1352</v>
      </c>
      <c r="F28" s="175">
        <v>10</v>
      </c>
      <c r="G28" s="175">
        <v>30</v>
      </c>
      <c r="H28" s="175">
        <v>1151</v>
      </c>
      <c r="I28" s="175">
        <v>161</v>
      </c>
    </row>
    <row r="29" spans="1:9" s="55" customFormat="1" ht="17.100000000000001" customHeight="1">
      <c r="A29" s="298"/>
      <c r="B29" s="91"/>
      <c r="C29" s="91"/>
      <c r="D29" s="117"/>
      <c r="E29" s="175"/>
      <c r="F29" s="175"/>
      <c r="G29" s="175"/>
      <c r="H29" s="175"/>
      <c r="I29" s="175"/>
    </row>
    <row r="30" spans="1:9" s="55" customFormat="1" ht="17.100000000000001" customHeight="1">
      <c r="A30" s="298"/>
      <c r="B30" s="91" t="s">
        <v>84</v>
      </c>
      <c r="C30" s="91"/>
      <c r="D30" s="117">
        <v>2015</v>
      </c>
      <c r="E30" s="175">
        <f>SUM(F30:I30)</f>
        <v>892</v>
      </c>
      <c r="F30" s="175">
        <v>11</v>
      </c>
      <c r="G30" s="175">
        <v>24</v>
      </c>
      <c r="H30" s="175">
        <v>613</v>
      </c>
      <c r="I30" s="175">
        <v>244</v>
      </c>
    </row>
    <row r="31" spans="1:9" s="55" customFormat="1" ht="17.100000000000001" customHeight="1">
      <c r="A31" s="298"/>
      <c r="B31" s="91"/>
      <c r="C31" s="91"/>
      <c r="D31" s="117">
        <v>2016</v>
      </c>
      <c r="E31" s="175">
        <f>SUM(F31:I31)</f>
        <v>909</v>
      </c>
      <c r="F31" s="175">
        <v>14</v>
      </c>
      <c r="G31" s="175">
        <v>24</v>
      </c>
      <c r="H31" s="175">
        <v>696</v>
      </c>
      <c r="I31" s="175">
        <v>175</v>
      </c>
    </row>
    <row r="32" spans="1:9" s="55" customFormat="1" ht="17.100000000000001" customHeight="1">
      <c r="A32" s="298"/>
      <c r="B32" s="91"/>
      <c r="C32" s="91"/>
      <c r="D32" s="117">
        <v>2017</v>
      </c>
      <c r="E32" s="175">
        <f>SUM(F32:I32)</f>
        <v>784</v>
      </c>
      <c r="F32" s="175">
        <v>15</v>
      </c>
      <c r="G32" s="175">
        <v>21</v>
      </c>
      <c r="H32" s="175">
        <v>547</v>
      </c>
      <c r="I32" s="175">
        <v>201</v>
      </c>
    </row>
    <row r="33" spans="1:10" s="55" customFormat="1" ht="17.100000000000001" customHeight="1">
      <c r="A33" s="298"/>
      <c r="B33" s="91"/>
      <c r="C33" s="91"/>
      <c r="D33" s="117"/>
      <c r="E33" s="175"/>
      <c r="F33" s="175"/>
      <c r="G33" s="175"/>
      <c r="H33" s="175"/>
      <c r="I33" s="175"/>
    </row>
    <row r="34" spans="1:10" s="124" customFormat="1" ht="17.100000000000001" customHeight="1">
      <c r="A34" s="298"/>
      <c r="B34" s="91" t="s">
        <v>85</v>
      </c>
      <c r="C34" s="91"/>
      <c r="D34" s="117">
        <v>2015</v>
      </c>
      <c r="E34" s="175">
        <f>SUM(F34:I34)</f>
        <v>592</v>
      </c>
      <c r="F34" s="175">
        <v>5</v>
      </c>
      <c r="G34" s="175">
        <v>24</v>
      </c>
      <c r="H34" s="175">
        <v>473</v>
      </c>
      <c r="I34" s="175">
        <v>90</v>
      </c>
      <c r="J34" s="55"/>
    </row>
    <row r="35" spans="1:10" s="55" customFormat="1" ht="17.100000000000001" customHeight="1">
      <c r="A35" s="298"/>
      <c r="B35" s="91"/>
      <c r="C35" s="91"/>
      <c r="D35" s="117">
        <v>2016</v>
      </c>
      <c r="E35" s="175">
        <f>SUM(F35:I35)</f>
        <v>710</v>
      </c>
      <c r="F35" s="175">
        <v>7</v>
      </c>
      <c r="G35" s="175">
        <v>18</v>
      </c>
      <c r="H35" s="175">
        <v>565</v>
      </c>
      <c r="I35" s="175">
        <v>120</v>
      </c>
    </row>
    <row r="36" spans="1:10" s="55" customFormat="1" ht="17.100000000000001" customHeight="1">
      <c r="A36" s="298"/>
      <c r="B36" s="91"/>
      <c r="C36" s="91"/>
      <c r="D36" s="117">
        <v>2017</v>
      </c>
      <c r="E36" s="175">
        <f>SUM(F36:I36)</f>
        <v>793</v>
      </c>
      <c r="F36" s="175">
        <v>5</v>
      </c>
      <c r="G36" s="175">
        <v>32</v>
      </c>
      <c r="H36" s="175">
        <v>622</v>
      </c>
      <c r="I36" s="175">
        <v>134</v>
      </c>
    </row>
    <row r="37" spans="1:10" s="55" customFormat="1" ht="17.100000000000001" customHeight="1">
      <c r="A37" s="298"/>
      <c r="B37" s="91"/>
      <c r="C37" s="91"/>
      <c r="D37" s="117"/>
      <c r="E37" s="175"/>
      <c r="F37" s="175"/>
      <c r="G37" s="175"/>
      <c r="H37" s="175"/>
      <c r="I37" s="175"/>
    </row>
    <row r="38" spans="1:10" s="55" customFormat="1" ht="17.100000000000001" customHeight="1">
      <c r="A38" s="298"/>
      <c r="B38" s="91" t="s">
        <v>86</v>
      </c>
      <c r="C38" s="91"/>
      <c r="D38" s="117">
        <v>2015</v>
      </c>
      <c r="E38" s="175">
        <f>SUM(F38:I38)</f>
        <v>26</v>
      </c>
      <c r="F38" s="175" t="s">
        <v>51</v>
      </c>
      <c r="G38" s="175">
        <v>4</v>
      </c>
      <c r="H38" s="175">
        <v>13</v>
      </c>
      <c r="I38" s="175">
        <v>9</v>
      </c>
    </row>
    <row r="39" spans="1:10" s="55" customFormat="1" ht="17.100000000000001" customHeight="1">
      <c r="A39" s="298"/>
      <c r="B39" s="91"/>
      <c r="C39" s="91"/>
      <c r="D39" s="117">
        <v>2016</v>
      </c>
      <c r="E39" s="175">
        <f>SUM(F39:I39)</f>
        <v>25</v>
      </c>
      <c r="F39" s="175">
        <v>1</v>
      </c>
      <c r="G39" s="175">
        <v>5</v>
      </c>
      <c r="H39" s="175">
        <v>15</v>
      </c>
      <c r="I39" s="175">
        <v>4</v>
      </c>
    </row>
    <row r="40" spans="1:10" s="55" customFormat="1" ht="17.100000000000001" customHeight="1">
      <c r="A40" s="298"/>
      <c r="B40" s="91"/>
      <c r="C40" s="91"/>
      <c r="D40" s="117">
        <v>2017</v>
      </c>
      <c r="E40" s="175">
        <f>SUM(F40:I40)</f>
        <v>19</v>
      </c>
      <c r="F40" s="173" t="s">
        <v>51</v>
      </c>
      <c r="G40" s="175">
        <v>2</v>
      </c>
      <c r="H40" s="175">
        <v>14</v>
      </c>
      <c r="I40" s="175">
        <v>3</v>
      </c>
    </row>
    <row r="41" spans="1:10" s="55" customFormat="1" ht="8.1" customHeight="1" thickBot="1">
      <c r="A41" s="283"/>
      <c r="B41" s="284"/>
      <c r="C41" s="284"/>
      <c r="D41" s="284"/>
      <c r="E41" s="285"/>
      <c r="F41" s="286"/>
      <c r="G41" s="286"/>
      <c r="H41" s="286"/>
      <c r="I41" s="287"/>
      <c r="J41" s="283"/>
    </row>
    <row r="42" spans="1:10" s="55" customFormat="1" ht="12.75">
      <c r="B42" s="124"/>
      <c r="C42" s="124"/>
      <c r="D42" s="124"/>
      <c r="E42" s="70"/>
      <c r="F42" s="123"/>
      <c r="G42" s="123"/>
      <c r="H42" s="123"/>
      <c r="I42" s="265"/>
      <c r="J42" s="8" t="s">
        <v>104</v>
      </c>
    </row>
    <row r="43" spans="1:10" s="55" customFormat="1" ht="12.75">
      <c r="B43" s="124"/>
      <c r="C43" s="124"/>
      <c r="D43" s="124"/>
      <c r="E43" s="70"/>
      <c r="F43" s="123"/>
      <c r="G43" s="123"/>
      <c r="H43" s="123"/>
      <c r="I43" s="265"/>
      <c r="J43" s="41" t="s">
        <v>1</v>
      </c>
    </row>
    <row r="44" spans="1:10">
      <c r="D44" s="13"/>
    </row>
    <row r="45" spans="1:10">
      <c r="D45" s="13"/>
    </row>
    <row r="46" spans="1:10">
      <c r="D46" s="13"/>
    </row>
  </sheetData>
  <mergeCells count="7">
    <mergeCell ref="I11:I12"/>
    <mergeCell ref="B11:C12"/>
    <mergeCell ref="D11:D12"/>
    <mergeCell ref="E11:E12"/>
    <mergeCell ref="F11:F12"/>
    <mergeCell ref="G11:G12"/>
    <mergeCell ref="H11:H12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5" fitToWidth="0" orientation="portrait" r:id="rId1"/>
  <headerFooter>
    <oddHeader xml:space="preserve">&amp;R&amp;"-,Bold"
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O79"/>
  <sheetViews>
    <sheetView showGridLines="0" view="pageBreakPreview" topLeftCell="A25" zoomScaleNormal="100" zoomScaleSheetLayoutView="100" workbookViewId="0">
      <selection activeCell="N33" sqref="N33"/>
    </sheetView>
  </sheetViews>
  <sheetFormatPr defaultColWidth="9.140625" defaultRowHeight="15"/>
  <cols>
    <col min="1" max="1" width="1" style="2" customWidth="1"/>
    <col min="2" max="2" width="12.140625" style="3" customWidth="1"/>
    <col min="3" max="3" width="5.28515625" style="3" customWidth="1"/>
    <col min="4" max="4" width="8.85546875" style="3" customWidth="1"/>
    <col min="5" max="5" width="11" style="4" customWidth="1"/>
    <col min="6" max="6" width="11.5703125" style="5" customWidth="1"/>
    <col min="7" max="7" width="12.28515625" style="5" customWidth="1"/>
    <col min="8" max="8" width="12.28515625" style="261" customWidth="1"/>
    <col min="9" max="9" width="12.28515625" style="5" customWidth="1"/>
    <col min="10" max="10" width="10.42578125" style="2" customWidth="1"/>
    <col min="11" max="11" width="11.85546875" style="2" customWidth="1"/>
    <col min="12" max="16384" width="9.140625" style="2"/>
  </cols>
  <sheetData>
    <row r="1" spans="1:12" s="30" customFormat="1" ht="12" customHeight="1">
      <c r="B1" s="27"/>
      <c r="C1" s="27"/>
      <c r="D1" s="27"/>
      <c r="E1" s="27"/>
      <c r="F1" s="27"/>
      <c r="G1" s="28"/>
      <c r="H1" s="29"/>
      <c r="K1" s="199" t="s">
        <v>188</v>
      </c>
    </row>
    <row r="2" spans="1:12" s="30" customFormat="1" ht="12" customHeight="1">
      <c r="B2" s="27"/>
      <c r="C2" s="27"/>
      <c r="D2" s="27"/>
      <c r="E2" s="27"/>
      <c r="F2" s="27"/>
      <c r="G2" s="28"/>
      <c r="H2" s="29"/>
      <c r="K2" s="75" t="s">
        <v>189</v>
      </c>
    </row>
    <row r="3" spans="1:12" s="30" customFormat="1" ht="12" customHeight="1">
      <c r="B3" s="27"/>
      <c r="C3" s="27"/>
      <c r="D3" s="27"/>
      <c r="E3" s="27"/>
      <c r="F3" s="27"/>
      <c r="G3" s="28"/>
      <c r="H3" s="29"/>
      <c r="I3" s="75"/>
    </row>
    <row r="4" spans="1:12" s="30" customFormat="1" ht="12" customHeight="1">
      <c r="B4" s="27"/>
      <c r="C4" s="27"/>
      <c r="D4" s="27"/>
      <c r="E4" s="27"/>
      <c r="F4" s="27"/>
      <c r="G4" s="28"/>
      <c r="H4" s="29"/>
      <c r="I4" s="75"/>
    </row>
    <row r="5" spans="1:12" s="55" customFormat="1" ht="15" customHeight="1">
      <c r="B5" s="240" t="s">
        <v>211</v>
      </c>
      <c r="C5" s="71" t="s">
        <v>212</v>
      </c>
      <c r="D5" s="71"/>
      <c r="E5" s="71"/>
      <c r="F5" s="71"/>
      <c r="G5" s="71"/>
      <c r="H5" s="71"/>
      <c r="I5" s="71"/>
      <c r="J5" s="71"/>
      <c r="K5" s="71"/>
      <c r="L5" s="241"/>
    </row>
    <row r="6" spans="1:12" s="55" customFormat="1" ht="15" customHeight="1">
      <c r="B6" s="242" t="s">
        <v>213</v>
      </c>
      <c r="C6" s="95" t="s">
        <v>214</v>
      </c>
      <c r="D6" s="95"/>
      <c r="E6" s="95"/>
      <c r="F6" s="95"/>
      <c r="G6" s="95"/>
      <c r="H6" s="95"/>
      <c r="I6" s="95"/>
      <c r="J6" s="95"/>
      <c r="K6" s="95"/>
      <c r="L6" s="243"/>
    </row>
    <row r="7" spans="1:12" ht="8.1" customHeight="1" thickBot="1">
      <c r="B7" s="244"/>
      <c r="C7" s="244"/>
      <c r="D7" s="244"/>
      <c r="E7" s="245"/>
      <c r="F7" s="246"/>
      <c r="G7" s="246"/>
      <c r="H7" s="247"/>
      <c r="I7" s="246"/>
      <c r="J7" s="7"/>
      <c r="K7" s="7"/>
    </row>
    <row r="8" spans="1:12" ht="6" customHeight="1" thickTop="1">
      <c r="A8" s="248"/>
      <c r="B8" s="248"/>
      <c r="C8" s="226"/>
      <c r="D8" s="226"/>
      <c r="E8" s="227"/>
      <c r="F8" s="227"/>
      <c r="G8" s="227"/>
      <c r="H8" s="227"/>
      <c r="I8" s="227"/>
      <c r="J8" s="227"/>
      <c r="K8" s="227"/>
    </row>
    <row r="9" spans="1:12" s="55" customFormat="1" ht="30.75" customHeight="1">
      <c r="A9" s="249"/>
      <c r="B9" s="250" t="s">
        <v>215</v>
      </c>
      <c r="C9" s="251"/>
      <c r="D9" s="252" t="s">
        <v>216</v>
      </c>
      <c r="E9" s="253" t="s">
        <v>95</v>
      </c>
      <c r="F9" s="254" t="s">
        <v>217</v>
      </c>
      <c r="G9" s="255" t="s">
        <v>218</v>
      </c>
      <c r="H9" s="255"/>
      <c r="I9" s="255"/>
      <c r="J9" s="256" t="s">
        <v>219</v>
      </c>
      <c r="K9" s="254" t="s">
        <v>220</v>
      </c>
    </row>
    <row r="10" spans="1:12" s="111" customFormat="1" ht="55.5" customHeight="1">
      <c r="A10" s="257"/>
      <c r="B10" s="258"/>
      <c r="C10" s="205"/>
      <c r="D10" s="205"/>
      <c r="E10" s="259"/>
      <c r="F10" s="256"/>
      <c r="G10" s="57" t="s">
        <v>221</v>
      </c>
      <c r="H10" s="57" t="s">
        <v>222</v>
      </c>
      <c r="I10" s="207" t="s">
        <v>223</v>
      </c>
      <c r="J10" s="260"/>
      <c r="K10" s="256"/>
    </row>
    <row r="11" spans="1:12" ht="6.75" customHeight="1">
      <c r="I11" s="246"/>
    </row>
    <row r="12" spans="1:12" ht="12.95" customHeight="1">
      <c r="B12" s="231" t="s">
        <v>195</v>
      </c>
      <c r="C12" s="232"/>
      <c r="D12" s="69">
        <v>2015</v>
      </c>
      <c r="E12" s="174">
        <f t="shared" ref="E12:K14" si="0">E16+E20+E24+E28+E32+E36+E40+E44+E48+E52+E56+E60+E64+E68</f>
        <v>93735</v>
      </c>
      <c r="F12" s="233">
        <f t="shared" si="0"/>
        <v>19286</v>
      </c>
      <c r="G12" s="233">
        <f t="shared" si="0"/>
        <v>3395</v>
      </c>
      <c r="H12" s="233">
        <f t="shared" si="0"/>
        <v>12051</v>
      </c>
      <c r="I12" s="233">
        <f t="shared" si="0"/>
        <v>38565</v>
      </c>
      <c r="J12" s="233">
        <f t="shared" si="0"/>
        <v>2361</v>
      </c>
      <c r="K12" s="233">
        <f t="shared" si="0"/>
        <v>18077</v>
      </c>
    </row>
    <row r="13" spans="1:12" ht="12.95" customHeight="1">
      <c r="B13" s="231"/>
      <c r="C13" s="232"/>
      <c r="D13" s="67">
        <v>2016</v>
      </c>
      <c r="E13" s="174">
        <f t="shared" si="0"/>
        <v>90028</v>
      </c>
      <c r="F13" s="233">
        <f t="shared" si="0"/>
        <v>18760</v>
      </c>
      <c r="G13" s="233">
        <f t="shared" si="0"/>
        <v>3050</v>
      </c>
      <c r="H13" s="233">
        <f t="shared" si="0"/>
        <v>10607</v>
      </c>
      <c r="I13" s="233">
        <f t="shared" si="0"/>
        <v>34754</v>
      </c>
      <c r="J13" s="233">
        <f t="shared" si="0"/>
        <v>2963</v>
      </c>
      <c r="K13" s="233">
        <f t="shared" si="0"/>
        <v>19894</v>
      </c>
    </row>
    <row r="14" spans="1:12" ht="12.95" customHeight="1">
      <c r="B14" s="231"/>
      <c r="C14" s="232"/>
      <c r="D14" s="67">
        <v>2017</v>
      </c>
      <c r="E14" s="174">
        <f t="shared" si="0"/>
        <v>77802</v>
      </c>
      <c r="F14" s="233">
        <f>F18+F22+F26+F30+F34+F38+F42+F46+F50+F54+F58+F62+F66+F70</f>
        <v>16200</v>
      </c>
      <c r="G14" s="233">
        <f t="shared" si="0"/>
        <v>2102</v>
      </c>
      <c r="H14" s="233">
        <f t="shared" si="0"/>
        <v>8482</v>
      </c>
      <c r="I14" s="233">
        <f>I18+I22+I26+I30+I34+I38+I42+I46+I50+I54+I58+I62+I66+I70</f>
        <v>31576</v>
      </c>
      <c r="J14" s="233">
        <f>J18+J22+J30+J38+J42+J46+J50+J54+J58+J62+J70</f>
        <v>239</v>
      </c>
      <c r="K14" s="233">
        <f>K18+K22+K26+K30+K34+K38+K42+K46+K50+K54+K58+K62+K66+K70</f>
        <v>19203</v>
      </c>
    </row>
    <row r="15" spans="1:12" ht="8.1" customHeight="1">
      <c r="B15" s="231"/>
      <c r="C15" s="232"/>
      <c r="D15" s="176"/>
      <c r="E15" s="174"/>
      <c r="F15" s="233"/>
      <c r="G15" s="233"/>
      <c r="H15" s="233"/>
      <c r="I15" s="233"/>
      <c r="J15" s="233"/>
      <c r="K15" s="233"/>
    </row>
    <row r="16" spans="1:12" ht="12.95" customHeight="1">
      <c r="B16" s="235" t="s">
        <v>99</v>
      </c>
      <c r="C16" s="236"/>
      <c r="D16" s="170">
        <v>2015</v>
      </c>
      <c r="E16" s="175">
        <f>SUM(F16:K16)</f>
        <v>11067</v>
      </c>
      <c r="F16" s="237">
        <v>1440</v>
      </c>
      <c r="G16" s="237">
        <v>473</v>
      </c>
      <c r="H16" s="237">
        <v>1592</v>
      </c>
      <c r="I16" s="237">
        <v>5595</v>
      </c>
      <c r="J16" s="237">
        <v>33</v>
      </c>
      <c r="K16" s="237">
        <v>1934</v>
      </c>
    </row>
    <row r="17" spans="2:15" ht="12.95" customHeight="1">
      <c r="B17" s="235"/>
      <c r="C17" s="236"/>
      <c r="D17" s="176">
        <v>2016</v>
      </c>
      <c r="E17" s="175">
        <v>10121</v>
      </c>
      <c r="F17" s="237">
        <v>1475</v>
      </c>
      <c r="G17" s="237">
        <v>400</v>
      </c>
      <c r="H17" s="237">
        <v>1443</v>
      </c>
      <c r="I17" s="237">
        <v>4686</v>
      </c>
      <c r="J17" s="237">
        <v>44</v>
      </c>
      <c r="K17" s="237">
        <v>2073</v>
      </c>
    </row>
    <row r="18" spans="2:15" ht="12.95" customHeight="1">
      <c r="B18" s="235"/>
      <c r="C18" s="236"/>
      <c r="D18" s="176">
        <v>2017</v>
      </c>
      <c r="E18" s="175">
        <f>SUM(F18:K18)</f>
        <v>8729</v>
      </c>
      <c r="F18" s="237">
        <v>1211</v>
      </c>
      <c r="G18" s="237">
        <v>274</v>
      </c>
      <c r="H18" s="237">
        <v>1097</v>
      </c>
      <c r="I18" s="237">
        <v>4104</v>
      </c>
      <c r="J18" s="237">
        <v>11</v>
      </c>
      <c r="K18" s="237">
        <v>2032</v>
      </c>
    </row>
    <row r="19" spans="2:15" ht="8.1" customHeight="1">
      <c r="B19" s="235"/>
      <c r="C19" s="236"/>
      <c r="D19" s="176"/>
      <c r="E19" s="175"/>
      <c r="F19" s="237"/>
      <c r="G19" s="237"/>
      <c r="H19" s="237"/>
      <c r="I19" s="237"/>
      <c r="J19" s="237"/>
      <c r="K19" s="237"/>
    </row>
    <row r="20" spans="2:15" ht="12.95" customHeight="1">
      <c r="B20" s="235" t="s">
        <v>102</v>
      </c>
      <c r="C20" s="236"/>
      <c r="D20" s="170">
        <v>2015</v>
      </c>
      <c r="E20" s="175">
        <f>SUM(F20:K20)</f>
        <v>6506</v>
      </c>
      <c r="F20" s="237">
        <v>1499</v>
      </c>
      <c r="G20" s="237">
        <v>106</v>
      </c>
      <c r="H20" s="237">
        <v>575</v>
      </c>
      <c r="I20" s="237">
        <v>3120</v>
      </c>
      <c r="J20" s="237">
        <v>101</v>
      </c>
      <c r="K20" s="237">
        <v>1105</v>
      </c>
    </row>
    <row r="21" spans="2:15" ht="12.95" customHeight="1">
      <c r="B21" s="235"/>
      <c r="C21" s="236"/>
      <c r="D21" s="176">
        <v>2016</v>
      </c>
      <c r="E21" s="175">
        <v>6201</v>
      </c>
      <c r="F21" s="237">
        <v>1287</v>
      </c>
      <c r="G21" s="237">
        <v>111</v>
      </c>
      <c r="H21" s="237">
        <v>497</v>
      </c>
      <c r="I21" s="237">
        <v>3125</v>
      </c>
      <c r="J21" s="237">
        <v>99</v>
      </c>
      <c r="K21" s="237">
        <v>1082</v>
      </c>
    </row>
    <row r="22" spans="2:15" ht="12.95" customHeight="1">
      <c r="B22" s="235"/>
      <c r="C22" s="236"/>
      <c r="D22" s="176">
        <v>2017</v>
      </c>
      <c r="E22" s="175">
        <f>SUM(F22:K22)</f>
        <v>5763</v>
      </c>
      <c r="F22" s="237">
        <v>1350</v>
      </c>
      <c r="G22" s="237">
        <v>81</v>
      </c>
      <c r="H22" s="237">
        <v>378</v>
      </c>
      <c r="I22" s="237">
        <v>2846</v>
      </c>
      <c r="J22" s="237">
        <v>29</v>
      </c>
      <c r="K22" s="237">
        <v>1079</v>
      </c>
    </row>
    <row r="23" spans="2:15" ht="8.1" customHeight="1">
      <c r="B23" s="235"/>
      <c r="C23" s="236"/>
      <c r="D23" s="176"/>
      <c r="E23" s="175"/>
      <c r="F23" s="237"/>
      <c r="G23" s="237"/>
      <c r="H23" s="237"/>
      <c r="I23" s="237"/>
      <c r="J23" s="237"/>
      <c r="K23" s="237"/>
    </row>
    <row r="24" spans="2:15" ht="12.95" customHeight="1">
      <c r="B24" s="235" t="s">
        <v>196</v>
      </c>
      <c r="C24" s="236"/>
      <c r="D24" s="170">
        <v>2015</v>
      </c>
      <c r="E24" s="175">
        <f>SUM(F24:K24)</f>
        <v>4387</v>
      </c>
      <c r="F24" s="237">
        <v>893</v>
      </c>
      <c r="G24" s="237">
        <v>90</v>
      </c>
      <c r="H24" s="237">
        <v>737</v>
      </c>
      <c r="I24" s="237">
        <v>2112</v>
      </c>
      <c r="J24" s="237">
        <v>63</v>
      </c>
      <c r="K24" s="237">
        <v>492</v>
      </c>
    </row>
    <row r="25" spans="2:15" s="3" customFormat="1" ht="12.95" customHeight="1">
      <c r="B25" s="235"/>
      <c r="C25" s="236"/>
      <c r="D25" s="176">
        <v>2016</v>
      </c>
      <c r="E25" s="175">
        <v>4005</v>
      </c>
      <c r="F25" s="237">
        <v>682</v>
      </c>
      <c r="G25" s="237">
        <v>90</v>
      </c>
      <c r="H25" s="237">
        <v>614</v>
      </c>
      <c r="I25" s="237">
        <v>1945</v>
      </c>
      <c r="J25" s="237">
        <v>61</v>
      </c>
      <c r="K25" s="237">
        <v>613</v>
      </c>
      <c r="L25" s="2"/>
      <c r="M25" s="2"/>
      <c r="N25" s="2"/>
      <c r="O25" s="2"/>
    </row>
    <row r="26" spans="2:15" ht="12.95" customHeight="1">
      <c r="B26" s="235"/>
      <c r="C26" s="236"/>
      <c r="D26" s="176">
        <v>2017</v>
      </c>
      <c r="E26" s="175">
        <f>SUM(F26:K26)</f>
        <v>3920</v>
      </c>
      <c r="F26" s="237">
        <v>570</v>
      </c>
      <c r="G26" s="237">
        <v>98</v>
      </c>
      <c r="H26" s="237">
        <v>722</v>
      </c>
      <c r="I26" s="237">
        <v>1983</v>
      </c>
      <c r="J26" s="237" t="s">
        <v>51</v>
      </c>
      <c r="K26" s="237">
        <v>547</v>
      </c>
    </row>
    <row r="27" spans="2:15" ht="8.1" customHeight="1">
      <c r="B27" s="235"/>
      <c r="C27" s="236"/>
      <c r="D27" s="176"/>
      <c r="E27" s="175"/>
      <c r="F27" s="237"/>
      <c r="G27" s="237"/>
      <c r="H27" s="237"/>
      <c r="I27" s="237"/>
      <c r="J27" s="237"/>
      <c r="K27" s="237"/>
    </row>
    <row r="28" spans="2:15" ht="12.95" customHeight="1">
      <c r="B28" s="235" t="s">
        <v>197</v>
      </c>
      <c r="C28" s="236"/>
      <c r="D28" s="170">
        <v>2015</v>
      </c>
      <c r="E28" s="175">
        <f>SUM(F28:K28)</f>
        <v>2362</v>
      </c>
      <c r="F28" s="237">
        <v>445</v>
      </c>
      <c r="G28" s="237">
        <v>26</v>
      </c>
      <c r="H28" s="237">
        <v>167</v>
      </c>
      <c r="I28" s="237">
        <v>1304</v>
      </c>
      <c r="J28" s="237">
        <v>2</v>
      </c>
      <c r="K28" s="237">
        <v>418</v>
      </c>
    </row>
    <row r="29" spans="2:15" ht="12.95" customHeight="1">
      <c r="B29" s="235"/>
      <c r="C29" s="236"/>
      <c r="D29" s="176">
        <v>2016</v>
      </c>
      <c r="E29" s="175">
        <v>2510</v>
      </c>
      <c r="F29" s="237">
        <v>544</v>
      </c>
      <c r="G29" s="237">
        <v>25</v>
      </c>
      <c r="H29" s="237">
        <v>170</v>
      </c>
      <c r="I29" s="237">
        <v>1246</v>
      </c>
      <c r="J29" s="237">
        <v>6</v>
      </c>
      <c r="K29" s="237">
        <v>519</v>
      </c>
    </row>
    <row r="30" spans="2:15" ht="12.95" customHeight="1">
      <c r="B30" s="235"/>
      <c r="C30" s="236"/>
      <c r="D30" s="176">
        <v>2017</v>
      </c>
      <c r="E30" s="175">
        <f>SUM(F30:K30)</f>
        <v>2255</v>
      </c>
      <c r="F30" s="237">
        <f>447+120</f>
        <v>567</v>
      </c>
      <c r="G30" s="237">
        <f>1+3+23</f>
        <v>27</v>
      </c>
      <c r="H30" s="237">
        <v>112</v>
      </c>
      <c r="I30" s="237">
        <v>1101</v>
      </c>
      <c r="J30" s="237">
        <v>2</v>
      </c>
      <c r="K30" s="237">
        <f>3+73+42+185+8+134+1</f>
        <v>446</v>
      </c>
    </row>
    <row r="31" spans="2:15" ht="8.1" customHeight="1">
      <c r="B31" s="235"/>
      <c r="C31" s="236"/>
      <c r="D31" s="176"/>
      <c r="E31" s="175"/>
      <c r="F31" s="237"/>
      <c r="G31" s="237"/>
      <c r="H31" s="237"/>
      <c r="I31" s="237"/>
      <c r="J31" s="237"/>
      <c r="K31" s="237"/>
    </row>
    <row r="32" spans="2:15" ht="12.95" customHeight="1">
      <c r="B32" s="235" t="s">
        <v>31</v>
      </c>
      <c r="C32" s="236"/>
      <c r="D32" s="170">
        <v>2015</v>
      </c>
      <c r="E32" s="175">
        <f>SUM(F32:K32)</f>
        <v>3508</v>
      </c>
      <c r="F32" s="237">
        <v>998</v>
      </c>
      <c r="G32" s="237">
        <v>73</v>
      </c>
      <c r="H32" s="237">
        <v>244</v>
      </c>
      <c r="I32" s="237">
        <v>1167</v>
      </c>
      <c r="J32" s="237">
        <v>18</v>
      </c>
      <c r="K32" s="237">
        <v>1008</v>
      </c>
    </row>
    <row r="33" spans="2:11" ht="12.95" customHeight="1">
      <c r="B33" s="235"/>
      <c r="C33" s="236"/>
      <c r="D33" s="176">
        <v>2016</v>
      </c>
      <c r="E33" s="175">
        <v>3390</v>
      </c>
      <c r="F33" s="237">
        <v>1023</v>
      </c>
      <c r="G33" s="237">
        <v>116</v>
      </c>
      <c r="H33" s="237">
        <v>177</v>
      </c>
      <c r="I33" s="237">
        <v>1053</v>
      </c>
      <c r="J33" s="237">
        <v>6</v>
      </c>
      <c r="K33" s="237">
        <v>1015</v>
      </c>
    </row>
    <row r="34" spans="2:11" ht="12.95" customHeight="1">
      <c r="B34" s="235"/>
      <c r="C34" s="236"/>
      <c r="D34" s="176">
        <v>2017</v>
      </c>
      <c r="E34" s="175">
        <f>SUM(F34:K34)</f>
        <v>3089</v>
      </c>
      <c r="F34" s="237">
        <v>895</v>
      </c>
      <c r="G34" s="237">
        <v>64</v>
      </c>
      <c r="H34" s="237">
        <v>170</v>
      </c>
      <c r="I34" s="237">
        <v>839</v>
      </c>
      <c r="J34" s="237" t="s">
        <v>51</v>
      </c>
      <c r="K34" s="237">
        <v>1121</v>
      </c>
    </row>
    <row r="35" spans="2:11" ht="8.1" customHeight="1">
      <c r="B35" s="235"/>
      <c r="C35" s="236"/>
      <c r="D35" s="176"/>
      <c r="E35" s="175"/>
      <c r="F35" s="237"/>
      <c r="G35" s="237"/>
      <c r="H35" s="237"/>
      <c r="I35" s="237"/>
      <c r="J35" s="237"/>
      <c r="K35" s="237"/>
    </row>
    <row r="36" spans="2:11" ht="12.95" customHeight="1">
      <c r="B36" s="235" t="s">
        <v>103</v>
      </c>
      <c r="C36" s="236"/>
      <c r="D36" s="170">
        <v>2015</v>
      </c>
      <c r="E36" s="175">
        <f>SUM(F36:K36)</f>
        <v>3580</v>
      </c>
      <c r="F36" s="237">
        <v>795</v>
      </c>
      <c r="G36" s="237">
        <v>93</v>
      </c>
      <c r="H36" s="237">
        <v>329</v>
      </c>
      <c r="I36" s="237">
        <v>1594</v>
      </c>
      <c r="J36" s="237">
        <v>42</v>
      </c>
      <c r="K36" s="237">
        <v>727</v>
      </c>
    </row>
    <row r="37" spans="2:11" ht="12.95" customHeight="1">
      <c r="B37" s="235"/>
      <c r="C37" s="236"/>
      <c r="D37" s="176">
        <v>2016</v>
      </c>
      <c r="E37" s="175">
        <v>3126</v>
      </c>
      <c r="F37" s="237">
        <v>719</v>
      </c>
      <c r="G37" s="237">
        <v>103</v>
      </c>
      <c r="H37" s="237">
        <v>254</v>
      </c>
      <c r="I37" s="237">
        <v>1399</v>
      </c>
      <c r="J37" s="237">
        <v>29</v>
      </c>
      <c r="K37" s="237">
        <v>622</v>
      </c>
    </row>
    <row r="38" spans="2:11" ht="12.95" customHeight="1">
      <c r="B38" s="235"/>
      <c r="C38" s="236"/>
      <c r="D38" s="176">
        <v>2017</v>
      </c>
      <c r="E38" s="175">
        <f>SUM(F38:K38)</f>
        <v>2951</v>
      </c>
      <c r="F38" s="237">
        <v>794</v>
      </c>
      <c r="G38" s="237">
        <v>58</v>
      </c>
      <c r="H38" s="237">
        <v>214</v>
      </c>
      <c r="I38" s="237">
        <v>1173</v>
      </c>
      <c r="J38" s="237">
        <v>5</v>
      </c>
      <c r="K38" s="237">
        <v>707</v>
      </c>
    </row>
    <row r="39" spans="2:11" ht="8.1" customHeight="1">
      <c r="B39" s="235"/>
      <c r="C39" s="236"/>
      <c r="D39" s="176"/>
      <c r="E39" s="175"/>
      <c r="F39" s="237"/>
      <c r="G39" s="237"/>
      <c r="H39" s="237"/>
      <c r="I39" s="237"/>
      <c r="J39" s="237"/>
      <c r="K39" s="237"/>
    </row>
    <row r="40" spans="2:11" ht="12.95" customHeight="1">
      <c r="B40" s="235" t="s">
        <v>182</v>
      </c>
      <c r="C40" s="236"/>
      <c r="D40" s="170">
        <v>2015</v>
      </c>
      <c r="E40" s="175">
        <f>SUM(F40:K40)</f>
        <v>4940</v>
      </c>
      <c r="F40" s="237">
        <v>1134</v>
      </c>
      <c r="G40" s="237">
        <v>165</v>
      </c>
      <c r="H40" s="237">
        <v>399</v>
      </c>
      <c r="I40" s="237">
        <v>2203</v>
      </c>
      <c r="J40" s="237">
        <v>73</v>
      </c>
      <c r="K40" s="237">
        <v>966</v>
      </c>
    </row>
    <row r="41" spans="2:11" ht="12.95" customHeight="1">
      <c r="B41" s="235"/>
      <c r="C41" s="236"/>
      <c r="D41" s="176">
        <v>2016</v>
      </c>
      <c r="E41" s="175">
        <v>4546</v>
      </c>
      <c r="F41" s="237">
        <v>915</v>
      </c>
      <c r="G41" s="237">
        <v>118</v>
      </c>
      <c r="H41" s="237">
        <v>386</v>
      </c>
      <c r="I41" s="237">
        <v>2112</v>
      </c>
      <c r="J41" s="237">
        <v>60</v>
      </c>
      <c r="K41" s="237">
        <v>955</v>
      </c>
    </row>
    <row r="42" spans="2:11" ht="12.95" customHeight="1">
      <c r="B42" s="235"/>
      <c r="C42" s="236"/>
      <c r="D42" s="176">
        <v>2017</v>
      </c>
      <c r="E42" s="175">
        <f>SUM(F42:K42)</f>
        <v>4186</v>
      </c>
      <c r="F42" s="237">
        <v>859</v>
      </c>
      <c r="G42" s="237">
        <v>81</v>
      </c>
      <c r="H42" s="237">
        <v>322</v>
      </c>
      <c r="I42" s="237">
        <v>1913</v>
      </c>
      <c r="J42" s="237">
        <v>10</v>
      </c>
      <c r="K42" s="237">
        <v>1001</v>
      </c>
    </row>
    <row r="43" spans="2:11" ht="8.1" customHeight="1">
      <c r="B43" s="235"/>
      <c r="C43" s="236"/>
      <c r="D43" s="176"/>
      <c r="E43" s="175"/>
      <c r="F43" s="237"/>
      <c r="G43" s="237"/>
      <c r="H43" s="237"/>
      <c r="I43" s="237"/>
      <c r="J43" s="237"/>
      <c r="K43" s="237"/>
    </row>
    <row r="44" spans="2:11" ht="12.95" customHeight="1">
      <c r="B44" s="235" t="s">
        <v>49</v>
      </c>
      <c r="C44" s="236"/>
      <c r="D44" s="170">
        <v>2015</v>
      </c>
      <c r="E44" s="175">
        <f>SUM(F44:K44)</f>
        <v>599</v>
      </c>
      <c r="F44" s="237">
        <v>102</v>
      </c>
      <c r="G44" s="237">
        <v>3</v>
      </c>
      <c r="H44" s="237">
        <v>28</v>
      </c>
      <c r="I44" s="237">
        <v>358</v>
      </c>
      <c r="J44" s="237">
        <v>16</v>
      </c>
      <c r="K44" s="237">
        <v>92</v>
      </c>
    </row>
    <row r="45" spans="2:11" ht="12.95" customHeight="1">
      <c r="B45" s="235"/>
      <c r="C45" s="236"/>
      <c r="D45" s="176">
        <v>2016</v>
      </c>
      <c r="E45" s="175">
        <v>546</v>
      </c>
      <c r="F45" s="237">
        <v>85</v>
      </c>
      <c r="G45" s="237">
        <v>4</v>
      </c>
      <c r="H45" s="237">
        <v>20</v>
      </c>
      <c r="I45" s="237">
        <v>228</v>
      </c>
      <c r="J45" s="237">
        <v>17</v>
      </c>
      <c r="K45" s="237">
        <v>192</v>
      </c>
    </row>
    <row r="46" spans="2:11" ht="12.95" customHeight="1">
      <c r="B46" s="235"/>
      <c r="C46" s="236"/>
      <c r="D46" s="176">
        <v>2017</v>
      </c>
      <c r="E46" s="175">
        <f>SUM(F46:K46)</f>
        <v>471</v>
      </c>
      <c r="F46" s="237">
        <v>87</v>
      </c>
      <c r="G46" s="237">
        <v>5</v>
      </c>
      <c r="H46" s="237">
        <v>11</v>
      </c>
      <c r="I46" s="237">
        <v>186</v>
      </c>
      <c r="J46" s="237">
        <v>1</v>
      </c>
      <c r="K46" s="237">
        <v>181</v>
      </c>
    </row>
    <row r="47" spans="2:11" ht="8.1" customHeight="1">
      <c r="B47" s="235"/>
      <c r="C47" s="236"/>
      <c r="D47" s="176"/>
      <c r="E47" s="175"/>
      <c r="F47" s="237"/>
      <c r="G47" s="237"/>
      <c r="H47" s="237"/>
      <c r="I47" s="237"/>
      <c r="J47" s="237"/>
      <c r="K47" s="237"/>
    </row>
    <row r="48" spans="2:11" ht="12.95" customHeight="1">
      <c r="B48" s="235" t="s">
        <v>50</v>
      </c>
      <c r="C48" s="236"/>
      <c r="D48" s="170">
        <v>2015</v>
      </c>
      <c r="E48" s="175">
        <f>SUM(F48:K48)</f>
        <v>5486</v>
      </c>
      <c r="F48" s="237">
        <v>1150</v>
      </c>
      <c r="G48" s="237">
        <v>154</v>
      </c>
      <c r="H48" s="237">
        <v>494</v>
      </c>
      <c r="I48" s="237">
        <v>2488</v>
      </c>
      <c r="J48" s="237">
        <v>231</v>
      </c>
      <c r="K48" s="237">
        <v>969</v>
      </c>
    </row>
    <row r="49" spans="2:11" ht="12.95" customHeight="1">
      <c r="B49" s="235"/>
      <c r="C49" s="236"/>
      <c r="D49" s="176">
        <v>2016</v>
      </c>
      <c r="E49" s="175">
        <v>5078</v>
      </c>
      <c r="F49" s="237">
        <v>917</v>
      </c>
      <c r="G49" s="237">
        <v>110</v>
      </c>
      <c r="H49" s="237">
        <v>449</v>
      </c>
      <c r="I49" s="237">
        <v>2401</v>
      </c>
      <c r="J49" s="237">
        <v>191</v>
      </c>
      <c r="K49" s="237">
        <v>1010</v>
      </c>
    </row>
    <row r="50" spans="2:11" ht="12.95" customHeight="1">
      <c r="B50" s="235"/>
      <c r="C50" s="236"/>
      <c r="D50" s="176">
        <v>2017</v>
      </c>
      <c r="E50" s="175">
        <f>SUM(F50:K50)</f>
        <v>4473</v>
      </c>
      <c r="F50" s="237">
        <v>868</v>
      </c>
      <c r="G50" s="237">
        <v>66</v>
      </c>
      <c r="H50" s="237">
        <v>356</v>
      </c>
      <c r="I50" s="237">
        <v>2322</v>
      </c>
      <c r="J50" s="237">
        <v>10</v>
      </c>
      <c r="K50" s="237">
        <v>851</v>
      </c>
    </row>
    <row r="51" spans="2:11" ht="8.1" customHeight="1">
      <c r="B51" s="235"/>
      <c r="C51" s="236"/>
      <c r="D51" s="176"/>
      <c r="E51" s="175"/>
      <c r="F51" s="237"/>
      <c r="G51" s="237"/>
      <c r="H51" s="237"/>
      <c r="I51" s="237"/>
      <c r="J51" s="237"/>
      <c r="K51" s="237"/>
    </row>
    <row r="52" spans="2:11" ht="12.95" customHeight="1">
      <c r="B52" s="235" t="s">
        <v>158</v>
      </c>
      <c r="C52" s="236"/>
      <c r="D52" s="170">
        <v>2015</v>
      </c>
      <c r="E52" s="175">
        <v>4403</v>
      </c>
      <c r="F52" s="237">
        <v>1544</v>
      </c>
      <c r="G52" s="237">
        <v>132</v>
      </c>
      <c r="H52" s="237">
        <v>248</v>
      </c>
      <c r="I52" s="237">
        <v>792</v>
      </c>
      <c r="J52" s="237">
        <v>99</v>
      </c>
      <c r="K52" s="237">
        <v>1588</v>
      </c>
    </row>
    <row r="53" spans="2:11" ht="12.95" customHeight="1">
      <c r="B53" s="235"/>
      <c r="C53" s="236"/>
      <c r="D53" s="176">
        <v>2016</v>
      </c>
      <c r="E53" s="175">
        <v>4720</v>
      </c>
      <c r="F53" s="237">
        <v>1757</v>
      </c>
      <c r="G53" s="237">
        <v>136</v>
      </c>
      <c r="H53" s="237">
        <v>233</v>
      </c>
      <c r="I53" s="237">
        <v>850</v>
      </c>
      <c r="J53" s="237">
        <v>96</v>
      </c>
      <c r="K53" s="237">
        <v>1648</v>
      </c>
    </row>
    <row r="54" spans="2:11" ht="12.95" customHeight="1">
      <c r="B54" s="235"/>
      <c r="C54" s="236"/>
      <c r="D54" s="176">
        <v>2017</v>
      </c>
      <c r="E54" s="175">
        <f>SUM(F54:K54)</f>
        <v>5475</v>
      </c>
      <c r="F54" s="237">
        <v>1908</v>
      </c>
      <c r="G54" s="237">
        <v>116</v>
      </c>
      <c r="H54" s="237">
        <v>244</v>
      </c>
      <c r="I54" s="237">
        <v>666</v>
      </c>
      <c r="J54" s="237">
        <v>23</v>
      </c>
      <c r="K54" s="237">
        <v>2518</v>
      </c>
    </row>
    <row r="55" spans="2:11" ht="8.1" customHeight="1">
      <c r="B55" s="235"/>
      <c r="C55" s="236"/>
      <c r="D55" s="176"/>
      <c r="E55" s="175"/>
      <c r="F55" s="237"/>
      <c r="G55" s="237"/>
      <c r="H55" s="237"/>
      <c r="I55" s="237"/>
      <c r="J55" s="237"/>
      <c r="K55" s="237"/>
    </row>
    <row r="56" spans="2:11" ht="12.95" customHeight="1">
      <c r="B56" s="235" t="s">
        <v>129</v>
      </c>
      <c r="C56" s="236"/>
      <c r="D56" s="170">
        <v>2015</v>
      </c>
      <c r="E56" s="175">
        <f>SUM(F56:K56)</f>
        <v>6377</v>
      </c>
      <c r="F56" s="237">
        <v>1273</v>
      </c>
      <c r="G56" s="237">
        <v>200</v>
      </c>
      <c r="H56" s="237">
        <v>840</v>
      </c>
      <c r="I56" s="237">
        <v>2778</v>
      </c>
      <c r="J56" s="237">
        <v>108</v>
      </c>
      <c r="K56" s="237">
        <v>1178</v>
      </c>
    </row>
    <row r="57" spans="2:11" ht="12.95" customHeight="1">
      <c r="B57" s="235"/>
      <c r="C57" s="236"/>
      <c r="D57" s="176">
        <v>2016</v>
      </c>
      <c r="E57" s="175">
        <v>5873</v>
      </c>
      <c r="F57" s="237">
        <v>1540</v>
      </c>
      <c r="G57" s="237">
        <v>174</v>
      </c>
      <c r="H57" s="237">
        <v>748</v>
      </c>
      <c r="I57" s="237">
        <v>2006</v>
      </c>
      <c r="J57" s="237">
        <v>75</v>
      </c>
      <c r="K57" s="237">
        <v>1330</v>
      </c>
    </row>
    <row r="58" spans="2:11" ht="12.95" customHeight="1">
      <c r="B58" s="235"/>
      <c r="C58" s="236"/>
      <c r="D58" s="176">
        <v>2017</v>
      </c>
      <c r="E58" s="175">
        <f>SUM(F58:K58)</f>
        <v>5505</v>
      </c>
      <c r="F58" s="237">
        <v>1314</v>
      </c>
      <c r="G58" s="237">
        <v>75</v>
      </c>
      <c r="H58" s="237">
        <v>576</v>
      </c>
      <c r="I58" s="237">
        <v>2256</v>
      </c>
      <c r="J58" s="237">
        <v>1</v>
      </c>
      <c r="K58" s="237">
        <v>1283</v>
      </c>
    </row>
    <row r="59" spans="2:11" ht="8.1" customHeight="1">
      <c r="B59" s="235"/>
      <c r="C59" s="236"/>
      <c r="D59" s="176"/>
      <c r="E59" s="175"/>
      <c r="F59" s="237"/>
      <c r="G59" s="237"/>
      <c r="H59" s="237"/>
      <c r="I59" s="237"/>
      <c r="J59" s="237"/>
      <c r="K59" s="237"/>
    </row>
    <row r="60" spans="2:11" ht="12.95" customHeight="1">
      <c r="B60" s="235" t="s">
        <v>105</v>
      </c>
      <c r="C60" s="236"/>
      <c r="D60" s="170">
        <v>2015</v>
      </c>
      <c r="E60" s="175">
        <f>SUM(F60:K60)</f>
        <v>25964</v>
      </c>
      <c r="F60" s="237">
        <v>5805</v>
      </c>
      <c r="G60" s="237">
        <v>1326</v>
      </c>
      <c r="H60" s="237">
        <v>3932</v>
      </c>
      <c r="I60" s="237">
        <v>9794</v>
      </c>
      <c r="J60" s="237">
        <v>950</v>
      </c>
      <c r="K60" s="237">
        <v>4157</v>
      </c>
    </row>
    <row r="61" spans="2:11" ht="12.95" customHeight="1">
      <c r="B61" s="235"/>
      <c r="C61" s="236"/>
      <c r="D61" s="176">
        <v>2016</v>
      </c>
      <c r="E61" s="175">
        <v>24612</v>
      </c>
      <c r="F61" s="237">
        <v>5497</v>
      </c>
      <c r="G61" s="237">
        <v>1140</v>
      </c>
      <c r="H61" s="237">
        <v>3309</v>
      </c>
      <c r="I61" s="237">
        <v>8890</v>
      </c>
      <c r="J61" s="237">
        <v>983</v>
      </c>
      <c r="K61" s="237">
        <v>4793</v>
      </c>
    </row>
    <row r="62" spans="2:11" ht="12.95" customHeight="1">
      <c r="B62" s="235"/>
      <c r="C62" s="236"/>
      <c r="D62" s="176">
        <v>2017</v>
      </c>
      <c r="E62" s="175">
        <f>SUM(F62:K62)</f>
        <v>19599</v>
      </c>
      <c r="F62" s="237">
        <v>4133</v>
      </c>
      <c r="G62" s="237">
        <v>844</v>
      </c>
      <c r="H62" s="237">
        <v>2586</v>
      </c>
      <c r="I62" s="237">
        <v>7945</v>
      </c>
      <c r="J62" s="237">
        <v>140</v>
      </c>
      <c r="K62" s="237">
        <v>3951</v>
      </c>
    </row>
    <row r="63" spans="2:11" ht="8.1" customHeight="1">
      <c r="B63" s="235"/>
      <c r="C63" s="236"/>
      <c r="D63" s="176"/>
      <c r="E63" s="175"/>
      <c r="F63" s="237"/>
      <c r="G63" s="237"/>
      <c r="H63" s="237"/>
      <c r="I63" s="237"/>
      <c r="J63" s="237"/>
      <c r="K63" s="237"/>
    </row>
    <row r="64" spans="2:11" ht="12.95" customHeight="1">
      <c r="B64" s="235" t="s">
        <v>121</v>
      </c>
      <c r="C64" s="236"/>
      <c r="D64" s="170">
        <v>2015</v>
      </c>
      <c r="E64" s="175">
        <f>SUM(F64:K64)</f>
        <v>2282</v>
      </c>
      <c r="F64" s="237">
        <v>301</v>
      </c>
      <c r="G64" s="237">
        <v>30</v>
      </c>
      <c r="H64" s="237">
        <v>237</v>
      </c>
      <c r="I64" s="237">
        <v>1245</v>
      </c>
      <c r="J64" s="237">
        <v>21</v>
      </c>
      <c r="K64" s="237">
        <v>448</v>
      </c>
    </row>
    <row r="65" spans="1:11" ht="12.95" customHeight="1">
      <c r="B65" s="235"/>
      <c r="C65" s="236"/>
      <c r="D65" s="176">
        <v>2016</v>
      </c>
      <c r="E65" s="175">
        <v>2087</v>
      </c>
      <c r="F65" s="237">
        <v>452</v>
      </c>
      <c r="G65" s="237">
        <v>28</v>
      </c>
      <c r="H65" s="237">
        <v>203</v>
      </c>
      <c r="I65" s="237">
        <v>949</v>
      </c>
      <c r="J65" s="237">
        <v>8</v>
      </c>
      <c r="K65" s="237">
        <v>447</v>
      </c>
    </row>
    <row r="66" spans="1:11" ht="12.95" customHeight="1">
      <c r="B66" s="235"/>
      <c r="C66" s="236"/>
      <c r="D66" s="176">
        <v>2017</v>
      </c>
      <c r="E66" s="175">
        <f>SUM(F66:K66)</f>
        <v>1903</v>
      </c>
      <c r="F66" s="237">
        <f>378+78</f>
        <v>456</v>
      </c>
      <c r="G66" s="237">
        <v>22</v>
      </c>
      <c r="H66" s="237">
        <v>146</v>
      </c>
      <c r="I66" s="237">
        <v>914</v>
      </c>
      <c r="J66" s="237" t="s">
        <v>51</v>
      </c>
      <c r="K66" s="237">
        <f>36+31+136+13+149</f>
        <v>365</v>
      </c>
    </row>
    <row r="67" spans="1:11" ht="8.1" customHeight="1">
      <c r="B67" s="235"/>
      <c r="C67" s="236"/>
      <c r="D67" s="176"/>
      <c r="E67" s="175"/>
      <c r="F67" s="237"/>
      <c r="G67" s="237"/>
      <c r="H67" s="237"/>
      <c r="I67" s="237"/>
      <c r="J67" s="237"/>
      <c r="K67" s="237"/>
    </row>
    <row r="68" spans="1:11" ht="12.95" customHeight="1">
      <c r="B68" s="235" t="s">
        <v>183</v>
      </c>
      <c r="C68" s="236"/>
      <c r="D68" s="170">
        <v>2015</v>
      </c>
      <c r="E68" s="175">
        <v>12274</v>
      </c>
      <c r="F68" s="237">
        <v>1907</v>
      </c>
      <c r="G68" s="237">
        <v>524</v>
      </c>
      <c r="H68" s="237">
        <v>2229</v>
      </c>
      <c r="I68" s="237">
        <v>4015</v>
      </c>
      <c r="J68" s="237">
        <v>604</v>
      </c>
      <c r="K68" s="237">
        <v>2995</v>
      </c>
    </row>
    <row r="69" spans="1:11" ht="12.95" customHeight="1">
      <c r="B69" s="235"/>
      <c r="C69" s="236"/>
      <c r="D69" s="176">
        <v>2016</v>
      </c>
      <c r="E69" s="175">
        <v>13213</v>
      </c>
      <c r="F69" s="237">
        <v>1867</v>
      </c>
      <c r="G69" s="237">
        <v>495</v>
      </c>
      <c r="H69" s="237">
        <v>2104</v>
      </c>
      <c r="I69" s="237">
        <v>3864</v>
      </c>
      <c r="J69" s="237">
        <v>1288</v>
      </c>
      <c r="K69" s="237">
        <v>3595</v>
      </c>
    </row>
    <row r="70" spans="1:11" ht="12.95" customHeight="1">
      <c r="A70" s="7"/>
      <c r="B70" s="235"/>
      <c r="C70" s="236"/>
      <c r="D70" s="170">
        <v>2017</v>
      </c>
      <c r="E70" s="175">
        <f>SUM(F70:K70)</f>
        <v>9483</v>
      </c>
      <c r="F70" s="237">
        <v>1188</v>
      </c>
      <c r="G70" s="237">
        <f>1+10+280</f>
        <v>291</v>
      </c>
      <c r="H70" s="237">
        <v>1548</v>
      </c>
      <c r="I70" s="237">
        <v>3328</v>
      </c>
      <c r="J70" s="237">
        <v>7</v>
      </c>
      <c r="K70" s="237">
        <v>3121</v>
      </c>
    </row>
    <row r="71" spans="1:11" ht="8.1" customHeight="1" thickBot="1">
      <c r="A71" s="34"/>
      <c r="B71" s="262"/>
      <c r="C71" s="263"/>
      <c r="D71" s="263"/>
      <c r="E71" s="264"/>
      <c r="F71" s="264"/>
      <c r="G71" s="264"/>
      <c r="H71" s="264"/>
      <c r="I71" s="264"/>
      <c r="J71" s="264"/>
      <c r="K71" s="264"/>
    </row>
    <row r="72" spans="1:11" s="30" customFormat="1">
      <c r="B72" s="27"/>
      <c r="C72" s="27"/>
      <c r="D72" s="27"/>
      <c r="E72" s="27"/>
      <c r="F72" s="28"/>
      <c r="G72" s="29"/>
      <c r="H72" s="29"/>
      <c r="I72" s="29"/>
      <c r="K72" s="215" t="s">
        <v>104</v>
      </c>
    </row>
    <row r="73" spans="1:11" s="30" customFormat="1">
      <c r="B73" s="27"/>
      <c r="C73" s="27"/>
      <c r="D73" s="27"/>
      <c r="E73" s="27"/>
      <c r="F73" s="28"/>
      <c r="G73" s="29"/>
      <c r="H73" s="29"/>
      <c r="I73" s="29"/>
      <c r="K73" s="216" t="s">
        <v>1</v>
      </c>
    </row>
    <row r="74" spans="1:11" s="217" customFormat="1" ht="11.25">
      <c r="B74" s="218" t="s">
        <v>198</v>
      </c>
      <c r="C74" s="218"/>
      <c r="D74" s="218"/>
      <c r="E74" s="219"/>
      <c r="F74" s="220"/>
      <c r="G74" s="220"/>
    </row>
    <row r="75" spans="1:11" s="217" customFormat="1" ht="11.25">
      <c r="B75" s="221" t="s">
        <v>199</v>
      </c>
      <c r="C75" s="218"/>
      <c r="D75" s="218"/>
      <c r="E75" s="219"/>
      <c r="F75" s="220"/>
      <c r="G75" s="220"/>
    </row>
    <row r="76" spans="1:11" s="217" customFormat="1" ht="11.25">
      <c r="B76" s="222" t="s">
        <v>200</v>
      </c>
      <c r="C76" s="218"/>
      <c r="D76" s="218"/>
      <c r="E76" s="219"/>
      <c r="F76" s="220"/>
      <c r="G76" s="220"/>
    </row>
    <row r="77" spans="1:11" s="217" customFormat="1" ht="11.25">
      <c r="B77" s="221" t="s">
        <v>201</v>
      </c>
      <c r="C77" s="218"/>
      <c r="D77" s="218"/>
      <c r="E77" s="219"/>
      <c r="F77" s="220"/>
      <c r="G77" s="220"/>
    </row>
    <row r="78" spans="1:11" s="217" customFormat="1" ht="11.25">
      <c r="B78" s="223" t="s">
        <v>202</v>
      </c>
      <c r="C78" s="218"/>
      <c r="D78" s="218"/>
      <c r="E78" s="219"/>
      <c r="F78" s="220"/>
      <c r="G78" s="220"/>
    </row>
    <row r="79" spans="1:11" s="30" customFormat="1">
      <c r="B79" s="27"/>
      <c r="C79" s="27"/>
      <c r="D79" s="27"/>
      <c r="E79" s="27"/>
      <c r="F79" s="28"/>
      <c r="G79" s="29"/>
      <c r="H79" s="29"/>
      <c r="I79" s="29"/>
      <c r="K79" s="216"/>
    </row>
  </sheetData>
  <mergeCells count="6">
    <mergeCell ref="E8:K8"/>
    <mergeCell ref="E9:E10"/>
    <mergeCell ref="F9:F10"/>
    <mergeCell ref="G9:I9"/>
    <mergeCell ref="J9:J10"/>
    <mergeCell ref="K9:K10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0" fitToWidth="0" orientation="portrait" r:id="rId1"/>
  <headerFooter>
    <oddHeader xml:space="preserve">&amp;R&amp;"-,Bold"
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O74"/>
  <sheetViews>
    <sheetView showGridLines="0" tabSelected="1" zoomScaleNormal="100" zoomScaleSheetLayoutView="100" workbookViewId="0">
      <selection activeCell="AF36" sqref="AF36"/>
    </sheetView>
  </sheetViews>
  <sheetFormatPr defaultRowHeight="12.75"/>
  <cols>
    <col min="1" max="1" width="1.5703125" style="55" customWidth="1"/>
    <col min="2" max="2" width="12" style="124" customWidth="1"/>
    <col min="3" max="3" width="7" style="124" customWidth="1"/>
    <col min="4" max="4" width="10.140625" style="124" customWidth="1"/>
    <col min="5" max="5" width="10.7109375" style="266" customWidth="1"/>
    <col min="6" max="6" width="11.7109375" style="265" customWidth="1"/>
    <col min="7" max="7" width="10.28515625" style="265" customWidth="1"/>
    <col min="8" max="8" width="11.7109375" style="267" customWidth="1"/>
    <col min="9" max="9" width="12.28515625" style="265" customWidth="1"/>
    <col min="10" max="11" width="11.7109375" style="55" customWidth="1"/>
    <col min="12" max="16384" width="9.140625" style="55"/>
  </cols>
  <sheetData>
    <row r="1" spans="1:12" s="30" customFormat="1" ht="12" customHeight="1">
      <c r="B1" s="27"/>
      <c r="C1" s="27"/>
      <c r="D1" s="27"/>
      <c r="E1" s="28"/>
      <c r="F1" s="29"/>
      <c r="K1" s="199" t="s">
        <v>188</v>
      </c>
    </row>
    <row r="2" spans="1:12" s="30" customFormat="1" ht="12" customHeight="1">
      <c r="B2" s="27"/>
      <c r="C2" s="27"/>
      <c r="D2" s="27"/>
      <c r="E2" s="28"/>
      <c r="F2" s="29"/>
      <c r="K2" s="75" t="s">
        <v>189</v>
      </c>
    </row>
    <row r="3" spans="1:12" s="30" customFormat="1" ht="12" customHeight="1">
      <c r="B3" s="27"/>
      <c r="C3" s="27"/>
      <c r="D3" s="27"/>
      <c r="E3" s="28"/>
      <c r="F3" s="29"/>
      <c r="G3" s="75"/>
    </row>
    <row r="4" spans="1:12" s="30" customFormat="1" ht="12" customHeight="1">
      <c r="B4" s="27"/>
      <c r="C4" s="27"/>
      <c r="D4" s="27"/>
      <c r="E4" s="28"/>
      <c r="F4" s="29"/>
      <c r="G4" s="75"/>
    </row>
    <row r="5" spans="1:12" ht="9.9499999999999993" customHeight="1"/>
    <row r="6" spans="1:12" ht="15" customHeight="1">
      <c r="B6" s="70" t="s">
        <v>234</v>
      </c>
      <c r="C6" s="71" t="s">
        <v>235</v>
      </c>
      <c r="F6" s="71"/>
      <c r="G6" s="71"/>
      <c r="H6" s="71"/>
      <c r="I6" s="71"/>
      <c r="J6" s="71"/>
      <c r="K6" s="71"/>
      <c r="L6" s="241"/>
    </row>
    <row r="7" spans="1:12" ht="18" customHeight="1">
      <c r="B7" s="89" t="s">
        <v>236</v>
      </c>
      <c r="C7" s="95" t="s">
        <v>237</v>
      </c>
      <c r="F7" s="95"/>
      <c r="G7" s="95"/>
      <c r="H7" s="95"/>
      <c r="I7" s="95"/>
      <c r="J7" s="95"/>
      <c r="K7" s="95"/>
      <c r="L7" s="243"/>
    </row>
    <row r="8" spans="1:12" ht="8.1" customHeight="1" thickBot="1">
      <c r="B8" s="282"/>
      <c r="C8" s="282"/>
      <c r="D8" s="282"/>
      <c r="E8" s="310"/>
      <c r="F8" s="311"/>
      <c r="G8" s="311"/>
      <c r="H8" s="312"/>
      <c r="I8" s="311"/>
      <c r="J8" s="125"/>
      <c r="K8" s="125"/>
    </row>
    <row r="9" spans="1:12" ht="8.1" customHeight="1" thickTop="1">
      <c r="A9" s="268"/>
      <c r="B9" s="270"/>
      <c r="C9" s="270"/>
      <c r="D9" s="270"/>
      <c r="E9" s="313"/>
      <c r="F9" s="273"/>
      <c r="G9" s="273"/>
      <c r="H9" s="314"/>
      <c r="I9" s="273"/>
      <c r="J9" s="268"/>
      <c r="K9" s="268"/>
    </row>
    <row r="10" spans="1:12" ht="30.75" customHeight="1">
      <c r="A10" s="249"/>
      <c r="B10" s="315" t="s">
        <v>238</v>
      </c>
      <c r="C10" s="315"/>
      <c r="D10" s="316" t="s">
        <v>100</v>
      </c>
      <c r="E10" s="259" t="s">
        <v>95</v>
      </c>
      <c r="F10" s="259" t="s">
        <v>239</v>
      </c>
      <c r="G10" s="255" t="s">
        <v>218</v>
      </c>
      <c r="H10" s="255"/>
      <c r="I10" s="255"/>
      <c r="J10" s="256" t="s">
        <v>219</v>
      </c>
      <c r="K10" s="259" t="s">
        <v>220</v>
      </c>
    </row>
    <row r="11" spans="1:12" s="111" customFormat="1" ht="55.5" customHeight="1">
      <c r="A11" s="257"/>
      <c r="B11" s="317"/>
      <c r="C11" s="317"/>
      <c r="D11" s="205"/>
      <c r="E11" s="318"/>
      <c r="F11" s="318"/>
      <c r="G11" s="319" t="s">
        <v>221</v>
      </c>
      <c r="H11" s="319" t="s">
        <v>222</v>
      </c>
      <c r="I11" s="319" t="s">
        <v>240</v>
      </c>
      <c r="J11" s="260"/>
      <c r="K11" s="318"/>
    </row>
    <row r="12" spans="1:12" s="111" customFormat="1" ht="7.5" customHeight="1">
      <c r="B12" s="95"/>
      <c r="C12" s="95"/>
      <c r="D12" s="94"/>
      <c r="E12" s="99"/>
      <c r="F12" s="320"/>
      <c r="G12" s="99"/>
      <c r="H12" s="99"/>
      <c r="I12" s="99"/>
      <c r="J12" s="320"/>
      <c r="K12" s="99"/>
    </row>
    <row r="13" spans="1:12" s="115" customFormat="1" ht="12.95" customHeight="1">
      <c r="B13" s="321" t="s">
        <v>99</v>
      </c>
      <c r="C13" s="135"/>
      <c r="D13" s="322">
        <v>2015</v>
      </c>
      <c r="E13" s="323">
        <f>SUM(F13:K13)</f>
        <v>11067</v>
      </c>
      <c r="F13" s="324">
        <f t="shared" ref="F13:I14" si="0">F17+F25+F29+F33+F37+F45+F49+F53+F57+F61+F65+F69+F41</f>
        <v>1440</v>
      </c>
      <c r="G13" s="324">
        <f t="shared" si="0"/>
        <v>473</v>
      </c>
      <c r="H13" s="324">
        <f t="shared" si="0"/>
        <v>1592</v>
      </c>
      <c r="I13" s="324">
        <f t="shared" si="0"/>
        <v>5595</v>
      </c>
      <c r="J13" s="324">
        <f>J17+J29+J41+J45+J53+J65</f>
        <v>33</v>
      </c>
      <c r="K13" s="324">
        <f>K17+K25+K29+K33+K37+K45+K49+K53+K57+K61+K65+K69+K41</f>
        <v>1934</v>
      </c>
    </row>
    <row r="14" spans="1:12" s="115" customFormat="1" ht="12.95" customHeight="1">
      <c r="B14" s="135"/>
      <c r="C14" s="135"/>
      <c r="D14" s="322">
        <v>2016</v>
      </c>
      <c r="E14" s="323">
        <f>SUM(F14:K14)</f>
        <v>10121</v>
      </c>
      <c r="F14" s="324">
        <f t="shared" si="0"/>
        <v>1475</v>
      </c>
      <c r="G14" s="324">
        <f t="shared" si="0"/>
        <v>400</v>
      </c>
      <c r="H14" s="324">
        <f t="shared" si="0"/>
        <v>1443</v>
      </c>
      <c r="I14" s="324">
        <f t="shared" si="0"/>
        <v>4686</v>
      </c>
      <c r="J14" s="324">
        <f>J18+J26+J30+J34+J38+J42+J46+J54+J62</f>
        <v>44</v>
      </c>
      <c r="K14" s="324">
        <f>K18+K26+K30+K34+K38+K46+K50+K54+K58+K62+K66+K70+K42</f>
        <v>2073</v>
      </c>
    </row>
    <row r="15" spans="1:12" s="115" customFormat="1" ht="12.95" customHeight="1">
      <c r="B15" s="135"/>
      <c r="C15" s="135"/>
      <c r="D15" s="322">
        <v>2017</v>
      </c>
      <c r="E15" s="323">
        <f>E19+E23+E27+E31+E35+E39+E43+E47+E51+E55+E59+E63+E67+E71</f>
        <v>8729</v>
      </c>
      <c r="F15" s="323">
        <f t="shared" ref="F15:I15" si="1">F19+F23+F27+F31+F35+F39+F43+F47+F51+F55+F59+F63+F67+F71</f>
        <v>1211</v>
      </c>
      <c r="G15" s="323">
        <f>G19+G23+G27+G31+G35+G39+G43+G47+G51+G55+G63+G67+G71</f>
        <v>274</v>
      </c>
      <c r="H15" s="323">
        <f>H19+H23+H27+H31+H35+H39+H43+H47+H51+H55+H63+H67+H71</f>
        <v>1097</v>
      </c>
      <c r="I15" s="323">
        <f t="shared" si="1"/>
        <v>4104</v>
      </c>
      <c r="J15" s="323">
        <f>J19+J23+J35+J39+J43+J51+J67</f>
        <v>11</v>
      </c>
      <c r="K15" s="323">
        <f>K19+K23+K27+K31+K35+K39+K43+K47+K51+K55+K63+K67+K71</f>
        <v>2032</v>
      </c>
    </row>
    <row r="16" spans="1:12" s="125" customFormat="1" ht="8.1" customHeight="1">
      <c r="B16" s="135"/>
      <c r="C16" s="93"/>
      <c r="D16" s="325"/>
      <c r="E16" s="326"/>
      <c r="F16" s="326"/>
      <c r="G16" s="326"/>
      <c r="H16" s="326"/>
      <c r="I16" s="326"/>
      <c r="J16" s="326"/>
      <c r="K16" s="326"/>
    </row>
    <row r="17" spans="2:15" s="125" customFormat="1" ht="12.95" customHeight="1">
      <c r="B17" s="327" t="s">
        <v>2</v>
      </c>
      <c r="C17" s="327"/>
      <c r="D17" s="328">
        <v>2015</v>
      </c>
      <c r="E17" s="329">
        <f>SUM(F17:K17)</f>
        <v>722</v>
      </c>
      <c r="F17" s="329">
        <v>134</v>
      </c>
      <c r="G17" s="329">
        <v>23</v>
      </c>
      <c r="H17" s="329">
        <v>58</v>
      </c>
      <c r="I17" s="329">
        <v>276</v>
      </c>
      <c r="J17" s="329">
        <v>8</v>
      </c>
      <c r="K17" s="329">
        <v>223</v>
      </c>
    </row>
    <row r="18" spans="2:15" s="125" customFormat="1" ht="12.95" customHeight="1">
      <c r="B18" s="327"/>
      <c r="C18" s="327"/>
      <c r="D18" s="328">
        <v>2016</v>
      </c>
      <c r="E18" s="329">
        <f>SUM(F18:K18)</f>
        <v>621</v>
      </c>
      <c r="F18" s="329">
        <v>115</v>
      </c>
      <c r="G18" s="329">
        <v>16</v>
      </c>
      <c r="H18" s="329">
        <v>41</v>
      </c>
      <c r="I18" s="329">
        <v>257</v>
      </c>
      <c r="J18" s="329">
        <v>10</v>
      </c>
      <c r="K18" s="329">
        <v>182</v>
      </c>
    </row>
    <row r="19" spans="2:15" s="125" customFormat="1" ht="12.95" customHeight="1">
      <c r="B19" s="327"/>
      <c r="C19" s="327"/>
      <c r="D19" s="328">
        <v>2017</v>
      </c>
      <c r="E19" s="329">
        <f>SUM(F19:K19)</f>
        <v>558</v>
      </c>
      <c r="F19" s="329">
        <f>66+24</f>
        <v>90</v>
      </c>
      <c r="G19" s="329">
        <f>2+8</f>
        <v>10</v>
      </c>
      <c r="H19" s="329">
        <v>52</v>
      </c>
      <c r="I19" s="329">
        <v>287</v>
      </c>
      <c r="J19" s="329">
        <v>1</v>
      </c>
      <c r="K19" s="329">
        <f>1+15+6+48+48</f>
        <v>118</v>
      </c>
    </row>
    <row r="20" spans="2:15" s="125" customFormat="1" ht="8.1" customHeight="1">
      <c r="B20" s="327"/>
      <c r="C20" s="327"/>
      <c r="D20" s="328"/>
      <c r="E20" s="329"/>
      <c r="F20" s="329"/>
      <c r="G20" s="329"/>
      <c r="H20" s="329"/>
      <c r="I20" s="329"/>
      <c r="J20" s="329"/>
      <c r="K20" s="329"/>
    </row>
    <row r="21" spans="2:15" ht="12.95" customHeight="1">
      <c r="B21" s="327" t="s">
        <v>52</v>
      </c>
      <c r="C21" s="327"/>
      <c r="D21" s="328">
        <v>2015</v>
      </c>
      <c r="E21" s="330" t="s">
        <v>51</v>
      </c>
      <c r="F21" s="330" t="s">
        <v>51</v>
      </c>
      <c r="G21" s="330" t="s">
        <v>51</v>
      </c>
      <c r="H21" s="330" t="s">
        <v>51</v>
      </c>
      <c r="I21" s="330" t="s">
        <v>51</v>
      </c>
      <c r="J21" s="330" t="s">
        <v>51</v>
      </c>
      <c r="K21" s="330" t="s">
        <v>51</v>
      </c>
    </row>
    <row r="22" spans="2:15" ht="12.95" customHeight="1">
      <c r="B22" s="327"/>
      <c r="C22" s="327"/>
      <c r="D22" s="328">
        <v>2016</v>
      </c>
      <c r="E22" s="330" t="s">
        <v>51</v>
      </c>
      <c r="F22" s="330" t="s">
        <v>51</v>
      </c>
      <c r="G22" s="330" t="s">
        <v>51</v>
      </c>
      <c r="H22" s="330" t="s">
        <v>51</v>
      </c>
      <c r="I22" s="330" t="s">
        <v>51</v>
      </c>
      <c r="J22" s="330" t="s">
        <v>51</v>
      </c>
      <c r="K22" s="330" t="s">
        <v>51</v>
      </c>
    </row>
    <row r="23" spans="2:15" ht="12.95" customHeight="1">
      <c r="B23" s="327"/>
      <c r="C23" s="327"/>
      <c r="D23" s="328">
        <v>2017</v>
      </c>
      <c r="E23" s="329">
        <f>SUM(F23:K23)</f>
        <v>727</v>
      </c>
      <c r="F23" s="330">
        <v>92</v>
      </c>
      <c r="G23" s="330">
        <f>3+14</f>
        <v>17</v>
      </c>
      <c r="H23" s="330">
        <v>130</v>
      </c>
      <c r="I23" s="330">
        <v>337</v>
      </c>
      <c r="J23" s="330">
        <v>1</v>
      </c>
      <c r="K23" s="330">
        <v>150</v>
      </c>
    </row>
    <row r="24" spans="2:15" ht="8.1" customHeight="1">
      <c r="B24" s="327"/>
      <c r="C24" s="327"/>
      <c r="D24" s="328"/>
      <c r="E24" s="329"/>
      <c r="F24" s="330"/>
      <c r="G24" s="330"/>
      <c r="H24" s="330"/>
      <c r="I24" s="330"/>
      <c r="J24" s="330"/>
      <c r="K24" s="330"/>
    </row>
    <row r="25" spans="2:15" ht="12.95" customHeight="1">
      <c r="B25" s="327" t="s">
        <v>53</v>
      </c>
      <c r="C25" s="327"/>
      <c r="D25" s="328">
        <v>2015</v>
      </c>
      <c r="E25" s="329">
        <f>SUM(F25:K25)</f>
        <v>3028</v>
      </c>
      <c r="F25" s="329">
        <v>405</v>
      </c>
      <c r="G25" s="329">
        <v>96</v>
      </c>
      <c r="H25" s="329">
        <v>531</v>
      </c>
      <c r="I25" s="329">
        <v>1483</v>
      </c>
      <c r="J25" s="330" t="s">
        <v>51</v>
      </c>
      <c r="K25" s="329">
        <v>513</v>
      </c>
    </row>
    <row r="26" spans="2:15" ht="12.95" customHeight="1">
      <c r="B26" s="327"/>
      <c r="C26" s="327"/>
      <c r="D26" s="328">
        <v>2016</v>
      </c>
      <c r="E26" s="329">
        <f>SUM(F26:K26)</f>
        <v>2802</v>
      </c>
      <c r="F26" s="329">
        <v>432</v>
      </c>
      <c r="G26" s="329">
        <v>87</v>
      </c>
      <c r="H26" s="329">
        <v>514</v>
      </c>
      <c r="I26" s="329">
        <v>1111</v>
      </c>
      <c r="J26" s="329">
        <v>1</v>
      </c>
      <c r="K26" s="329">
        <v>657</v>
      </c>
    </row>
    <row r="27" spans="2:15" ht="12.95" customHeight="1">
      <c r="B27" s="327"/>
      <c r="C27" s="327"/>
      <c r="D27" s="328">
        <v>2017</v>
      </c>
      <c r="E27" s="329">
        <f>SUM(F27:K27)</f>
        <v>2275</v>
      </c>
      <c r="F27" s="329">
        <v>263</v>
      </c>
      <c r="G27" s="329">
        <f>1+64</f>
        <v>65</v>
      </c>
      <c r="H27" s="329">
        <v>344</v>
      </c>
      <c r="I27" s="329">
        <v>945</v>
      </c>
      <c r="J27" s="330" t="s">
        <v>51</v>
      </c>
      <c r="K27" s="329">
        <v>658</v>
      </c>
    </row>
    <row r="28" spans="2:15" ht="8.1" customHeight="1">
      <c r="B28" s="327"/>
      <c r="C28" s="327"/>
      <c r="D28" s="328"/>
      <c r="E28" s="329"/>
      <c r="F28" s="329"/>
      <c r="G28" s="329"/>
      <c r="H28" s="329"/>
      <c r="I28" s="329"/>
      <c r="J28" s="330"/>
      <c r="K28" s="329"/>
    </row>
    <row r="29" spans="2:15" ht="12.95" customHeight="1">
      <c r="B29" s="327" t="s">
        <v>54</v>
      </c>
      <c r="C29" s="327"/>
      <c r="D29" s="328">
        <v>2015</v>
      </c>
      <c r="E29" s="329">
        <f>SUM(F29:K29)</f>
        <v>1817</v>
      </c>
      <c r="F29" s="329">
        <v>338</v>
      </c>
      <c r="G29" s="329">
        <v>80</v>
      </c>
      <c r="H29" s="329">
        <v>249</v>
      </c>
      <c r="I29" s="329">
        <v>918</v>
      </c>
      <c r="J29" s="329">
        <v>5</v>
      </c>
      <c r="K29" s="329">
        <v>227</v>
      </c>
    </row>
    <row r="30" spans="2:15" ht="12.95" customHeight="1">
      <c r="B30" s="327"/>
      <c r="C30" s="327"/>
      <c r="D30" s="328">
        <v>2016</v>
      </c>
      <c r="E30" s="329">
        <f>SUM(F30:K30)</f>
        <v>1628</v>
      </c>
      <c r="F30" s="329">
        <v>333</v>
      </c>
      <c r="G30" s="329">
        <v>65</v>
      </c>
      <c r="H30" s="329">
        <v>221</v>
      </c>
      <c r="I30" s="329">
        <v>635</v>
      </c>
      <c r="J30" s="329">
        <v>16</v>
      </c>
      <c r="K30" s="329">
        <v>358</v>
      </c>
    </row>
    <row r="31" spans="2:15" s="124" customFormat="1" ht="12.95" customHeight="1">
      <c r="B31" s="327"/>
      <c r="C31" s="327"/>
      <c r="D31" s="328">
        <v>2017</v>
      </c>
      <c r="E31" s="329">
        <f>SUM(F31:K31)</f>
        <v>1237</v>
      </c>
      <c r="F31" s="329">
        <v>229</v>
      </c>
      <c r="G31" s="329">
        <f>1+41</f>
        <v>42</v>
      </c>
      <c r="H31" s="329">
        <v>174</v>
      </c>
      <c r="I31" s="329">
        <v>510</v>
      </c>
      <c r="J31" s="330" t="s">
        <v>51</v>
      </c>
      <c r="K31" s="329">
        <f>1+12+30+110+3+125+1</f>
        <v>282</v>
      </c>
      <c r="L31" s="55"/>
      <c r="M31" s="55"/>
      <c r="N31" s="55"/>
      <c r="O31" s="55"/>
    </row>
    <row r="32" spans="2:15" s="124" customFormat="1" ht="8.1" customHeight="1">
      <c r="B32" s="327"/>
      <c r="C32" s="327"/>
      <c r="D32" s="328"/>
      <c r="E32" s="329"/>
      <c r="F32" s="329"/>
      <c r="G32" s="329"/>
      <c r="H32" s="329"/>
      <c r="I32" s="329"/>
      <c r="J32" s="329"/>
      <c r="K32" s="329"/>
      <c r="L32" s="55"/>
      <c r="M32" s="55"/>
      <c r="N32" s="55"/>
      <c r="O32" s="55"/>
    </row>
    <row r="33" spans="2:11" ht="12.95" customHeight="1">
      <c r="B33" s="327" t="s">
        <v>3</v>
      </c>
      <c r="C33" s="327"/>
      <c r="D33" s="328">
        <v>2015</v>
      </c>
      <c r="E33" s="329">
        <f>SUM(F33:K33)</f>
        <v>624</v>
      </c>
      <c r="F33" s="329">
        <v>40</v>
      </c>
      <c r="G33" s="329">
        <v>29</v>
      </c>
      <c r="H33" s="329">
        <v>51</v>
      </c>
      <c r="I33" s="329">
        <v>320</v>
      </c>
      <c r="J33" s="330" t="s">
        <v>51</v>
      </c>
      <c r="K33" s="329">
        <v>184</v>
      </c>
    </row>
    <row r="34" spans="2:11" ht="12.95" customHeight="1">
      <c r="B34" s="327"/>
      <c r="C34" s="327"/>
      <c r="D34" s="328">
        <v>2016</v>
      </c>
      <c r="E34" s="329">
        <f>SUM(F34:K34)</f>
        <v>526</v>
      </c>
      <c r="F34" s="329">
        <v>41</v>
      </c>
      <c r="G34" s="329">
        <v>11</v>
      </c>
      <c r="H34" s="329">
        <v>35</v>
      </c>
      <c r="I34" s="329">
        <v>292</v>
      </c>
      <c r="J34" s="329">
        <v>3</v>
      </c>
      <c r="K34" s="329">
        <v>144</v>
      </c>
    </row>
    <row r="35" spans="2:11" ht="12.95" customHeight="1">
      <c r="B35" s="327"/>
      <c r="C35" s="327"/>
      <c r="D35" s="328">
        <v>2017</v>
      </c>
      <c r="E35" s="329">
        <f>SUM(F35:K35)</f>
        <v>535</v>
      </c>
      <c r="F35" s="329">
        <f>22+7</f>
        <v>29</v>
      </c>
      <c r="G35" s="329">
        <f>1+14</f>
        <v>15</v>
      </c>
      <c r="H35" s="329">
        <v>47</v>
      </c>
      <c r="I35" s="329">
        <v>339</v>
      </c>
      <c r="J35" s="330">
        <v>1</v>
      </c>
      <c r="K35" s="329">
        <v>104</v>
      </c>
    </row>
    <row r="36" spans="2:11" ht="8.1" customHeight="1">
      <c r="B36" s="327"/>
      <c r="C36" s="327"/>
      <c r="D36" s="328"/>
      <c r="E36" s="329"/>
      <c r="F36" s="329"/>
      <c r="G36" s="329"/>
      <c r="H36" s="329"/>
      <c r="I36" s="329"/>
      <c r="J36" s="330"/>
      <c r="K36" s="329"/>
    </row>
    <row r="37" spans="2:11" ht="12.95" customHeight="1">
      <c r="B37" s="327" t="s">
        <v>4</v>
      </c>
      <c r="C37" s="327"/>
      <c r="D37" s="328">
        <v>2015</v>
      </c>
      <c r="E37" s="329">
        <f>SUM(F37:K37)</f>
        <v>468</v>
      </c>
      <c r="F37" s="329">
        <v>44</v>
      </c>
      <c r="G37" s="329">
        <v>9</v>
      </c>
      <c r="H37" s="329">
        <v>36</v>
      </c>
      <c r="I37" s="329">
        <v>311</v>
      </c>
      <c r="J37" s="330" t="s">
        <v>51</v>
      </c>
      <c r="K37" s="329">
        <v>68</v>
      </c>
    </row>
    <row r="38" spans="2:11" ht="12.95" customHeight="1">
      <c r="B38" s="327"/>
      <c r="C38" s="327"/>
      <c r="D38" s="328">
        <v>2016</v>
      </c>
      <c r="E38" s="329">
        <f>SUM(F38:K38)</f>
        <v>456</v>
      </c>
      <c r="F38" s="329">
        <v>43</v>
      </c>
      <c r="G38" s="329">
        <v>9</v>
      </c>
      <c r="H38" s="329">
        <v>45</v>
      </c>
      <c r="I38" s="329">
        <v>299</v>
      </c>
      <c r="J38" s="329">
        <v>2</v>
      </c>
      <c r="K38" s="329">
        <v>58</v>
      </c>
    </row>
    <row r="39" spans="2:11" ht="12.95" customHeight="1">
      <c r="B39" s="327"/>
      <c r="C39" s="327"/>
      <c r="D39" s="328">
        <v>2017</v>
      </c>
      <c r="E39" s="329">
        <f>SUM(F39:K39)</f>
        <v>494</v>
      </c>
      <c r="F39" s="329">
        <f>67+35</f>
        <v>102</v>
      </c>
      <c r="G39" s="329">
        <f>2+3+12</f>
        <v>17</v>
      </c>
      <c r="H39" s="329">
        <v>46</v>
      </c>
      <c r="I39" s="329">
        <v>231</v>
      </c>
      <c r="J39" s="330">
        <v>1</v>
      </c>
      <c r="K39" s="329">
        <v>97</v>
      </c>
    </row>
    <row r="40" spans="2:11" ht="8.1" customHeight="1">
      <c r="B40" s="327"/>
      <c r="C40" s="327"/>
      <c r="D40" s="328"/>
      <c r="E40" s="329"/>
      <c r="F40" s="329"/>
      <c r="G40" s="329"/>
      <c r="H40" s="329"/>
      <c r="I40" s="329"/>
      <c r="J40" s="330"/>
      <c r="K40" s="329"/>
    </row>
    <row r="41" spans="2:11" ht="12.95" customHeight="1">
      <c r="B41" s="327" t="s">
        <v>9</v>
      </c>
      <c r="C41" s="327"/>
      <c r="D41" s="328">
        <v>2015</v>
      </c>
      <c r="E41" s="329">
        <f>SUM(F41:K41)</f>
        <v>723</v>
      </c>
      <c r="F41" s="329">
        <v>151</v>
      </c>
      <c r="G41" s="329">
        <v>39</v>
      </c>
      <c r="H41" s="329">
        <v>74</v>
      </c>
      <c r="I41" s="329">
        <v>282</v>
      </c>
      <c r="J41" s="329">
        <v>7</v>
      </c>
      <c r="K41" s="329">
        <v>170</v>
      </c>
    </row>
    <row r="42" spans="2:11" ht="12.95" customHeight="1">
      <c r="B42" s="327"/>
      <c r="C42" s="327"/>
      <c r="D42" s="328">
        <v>2016</v>
      </c>
      <c r="E42" s="329">
        <f>SUM(F42:K42)</f>
        <v>617</v>
      </c>
      <c r="F42" s="329">
        <v>163</v>
      </c>
      <c r="G42" s="329">
        <v>39</v>
      </c>
      <c r="H42" s="329">
        <v>58</v>
      </c>
      <c r="I42" s="329">
        <v>191</v>
      </c>
      <c r="J42" s="329">
        <v>7</v>
      </c>
      <c r="K42" s="329">
        <v>159</v>
      </c>
    </row>
    <row r="43" spans="2:11" ht="12.95" customHeight="1">
      <c r="B43" s="327"/>
      <c r="C43" s="327"/>
      <c r="D43" s="328">
        <v>2017</v>
      </c>
      <c r="E43" s="329">
        <f>SUM(F43:K43)</f>
        <v>563</v>
      </c>
      <c r="F43" s="329">
        <f>91+43</f>
        <v>134</v>
      </c>
      <c r="G43" s="329">
        <f>1+25</f>
        <v>26</v>
      </c>
      <c r="H43" s="329">
        <v>49</v>
      </c>
      <c r="I43" s="329">
        <v>186</v>
      </c>
      <c r="J43" s="329">
        <v>1</v>
      </c>
      <c r="K43" s="329">
        <f>2+19+8+63+75</f>
        <v>167</v>
      </c>
    </row>
    <row r="44" spans="2:11" ht="8.1" customHeight="1">
      <c r="B44" s="327"/>
      <c r="C44" s="327"/>
      <c r="D44" s="328"/>
      <c r="E44" s="329"/>
      <c r="F44" s="329"/>
      <c r="G44" s="329"/>
      <c r="H44" s="329"/>
      <c r="I44" s="329"/>
      <c r="J44" s="329"/>
      <c r="K44" s="329"/>
    </row>
    <row r="45" spans="2:11" ht="12.95" customHeight="1">
      <c r="B45" s="327" t="s">
        <v>10</v>
      </c>
      <c r="C45" s="327"/>
      <c r="D45" s="328">
        <v>2015</v>
      </c>
      <c r="E45" s="329">
        <f>SUM(F45:K45)</f>
        <v>201</v>
      </c>
      <c r="F45" s="329">
        <v>31</v>
      </c>
      <c r="G45" s="329">
        <v>2</v>
      </c>
      <c r="H45" s="329">
        <v>9</v>
      </c>
      <c r="I45" s="329">
        <v>100</v>
      </c>
      <c r="J45" s="329">
        <v>6</v>
      </c>
      <c r="K45" s="329">
        <v>53</v>
      </c>
    </row>
    <row r="46" spans="2:11" ht="12.95" customHeight="1">
      <c r="B46" s="327"/>
      <c r="C46" s="327"/>
      <c r="D46" s="328">
        <v>2016</v>
      </c>
      <c r="E46" s="329">
        <f>SUM(F46:K46)</f>
        <v>220</v>
      </c>
      <c r="F46" s="330">
        <v>43</v>
      </c>
      <c r="G46" s="329">
        <v>1</v>
      </c>
      <c r="H46" s="329">
        <v>11</v>
      </c>
      <c r="I46" s="329">
        <v>100</v>
      </c>
      <c r="J46" s="329">
        <v>2</v>
      </c>
      <c r="K46" s="329">
        <v>63</v>
      </c>
    </row>
    <row r="47" spans="2:11" ht="12.95" customHeight="1">
      <c r="B47" s="327"/>
      <c r="C47" s="327"/>
      <c r="D47" s="328">
        <v>2017</v>
      </c>
      <c r="E47" s="329">
        <f>SUM(F47:K47)</f>
        <v>190</v>
      </c>
      <c r="F47" s="329">
        <f>15+10</f>
        <v>25</v>
      </c>
      <c r="G47" s="329">
        <v>3</v>
      </c>
      <c r="H47" s="329">
        <v>8</v>
      </c>
      <c r="I47" s="329">
        <v>83</v>
      </c>
      <c r="J47" s="330" t="s">
        <v>51</v>
      </c>
      <c r="K47" s="329">
        <v>71</v>
      </c>
    </row>
    <row r="48" spans="2:11" ht="8.1" customHeight="1">
      <c r="B48" s="327"/>
      <c r="C48" s="327"/>
      <c r="D48" s="328"/>
      <c r="E48" s="329"/>
      <c r="F48" s="329"/>
      <c r="G48" s="329"/>
      <c r="H48" s="329"/>
      <c r="I48" s="329"/>
      <c r="J48" s="329"/>
      <c r="K48" s="329"/>
    </row>
    <row r="49" spans="1:11" ht="12.95" customHeight="1">
      <c r="B49" s="327" t="s">
        <v>5</v>
      </c>
      <c r="C49" s="327"/>
      <c r="D49" s="328">
        <v>2015</v>
      </c>
      <c r="E49" s="329">
        <f>SUM(F49:K49)</f>
        <v>104</v>
      </c>
      <c r="F49" s="329">
        <v>1</v>
      </c>
      <c r="G49" s="329">
        <v>2</v>
      </c>
      <c r="H49" s="329">
        <v>3</v>
      </c>
      <c r="I49" s="329">
        <v>63</v>
      </c>
      <c r="J49" s="330" t="s">
        <v>51</v>
      </c>
      <c r="K49" s="329">
        <v>35</v>
      </c>
    </row>
    <row r="50" spans="1:11" ht="12.95" customHeight="1">
      <c r="B50" s="327"/>
      <c r="C50" s="327"/>
      <c r="D50" s="328">
        <v>2016</v>
      </c>
      <c r="E50" s="329">
        <f>SUM(F50:K50)</f>
        <v>112</v>
      </c>
      <c r="F50" s="329">
        <v>1</v>
      </c>
      <c r="G50" s="329">
        <v>1</v>
      </c>
      <c r="H50" s="329">
        <v>8</v>
      </c>
      <c r="I50" s="329">
        <v>61</v>
      </c>
      <c r="J50" s="330" t="s">
        <v>51</v>
      </c>
      <c r="K50" s="329">
        <v>41</v>
      </c>
    </row>
    <row r="51" spans="1:11" ht="12.95" customHeight="1">
      <c r="A51" s="125"/>
      <c r="B51" s="327"/>
      <c r="C51" s="327"/>
      <c r="D51" s="328">
        <v>2017</v>
      </c>
      <c r="E51" s="329">
        <f>SUM(F51:K51)</f>
        <v>120</v>
      </c>
      <c r="F51" s="329">
        <f>3+6</f>
        <v>9</v>
      </c>
      <c r="G51" s="329">
        <v>1</v>
      </c>
      <c r="H51" s="329">
        <v>5</v>
      </c>
      <c r="I51" s="329">
        <v>45</v>
      </c>
      <c r="J51" s="330">
        <v>1</v>
      </c>
      <c r="K51" s="329">
        <v>59</v>
      </c>
    </row>
    <row r="52" spans="1:11" s="125" customFormat="1" ht="8.1" customHeight="1">
      <c r="B52" s="327"/>
      <c r="C52" s="327"/>
      <c r="D52" s="328"/>
      <c r="E52" s="329"/>
      <c r="F52" s="329"/>
      <c r="G52" s="329"/>
      <c r="H52" s="329"/>
      <c r="I52" s="329"/>
      <c r="J52" s="329"/>
      <c r="K52" s="329"/>
    </row>
    <row r="53" spans="1:11" s="125" customFormat="1" ht="12.95" customHeight="1">
      <c r="B53" s="327" t="s">
        <v>6</v>
      </c>
      <c r="C53" s="327"/>
      <c r="D53" s="328">
        <v>2015</v>
      </c>
      <c r="E53" s="329">
        <f>SUM(F53:K53)</f>
        <v>335</v>
      </c>
      <c r="F53" s="329">
        <v>54</v>
      </c>
      <c r="G53" s="329">
        <v>6</v>
      </c>
      <c r="H53" s="329">
        <v>27</v>
      </c>
      <c r="I53" s="329">
        <v>157</v>
      </c>
      <c r="J53" s="329">
        <v>2</v>
      </c>
      <c r="K53" s="329">
        <v>89</v>
      </c>
    </row>
    <row r="54" spans="1:11" s="125" customFormat="1" ht="12.95" customHeight="1">
      <c r="B54" s="327"/>
      <c r="C54" s="327"/>
      <c r="D54" s="328">
        <v>2016</v>
      </c>
      <c r="E54" s="329">
        <f>SUM(F54:K54)</f>
        <v>298</v>
      </c>
      <c r="F54" s="329">
        <v>46</v>
      </c>
      <c r="G54" s="329">
        <v>3</v>
      </c>
      <c r="H54" s="329">
        <v>19</v>
      </c>
      <c r="I54" s="329">
        <v>140</v>
      </c>
      <c r="J54" s="329">
        <v>2</v>
      </c>
      <c r="K54" s="329">
        <v>88</v>
      </c>
    </row>
    <row r="55" spans="1:11" s="125" customFormat="1" ht="12.95" customHeight="1">
      <c r="B55" s="327"/>
      <c r="C55" s="327"/>
      <c r="D55" s="328">
        <v>2017</v>
      </c>
      <c r="E55" s="329">
        <f>SUM(F55:K55)</f>
        <v>234</v>
      </c>
      <c r="F55" s="329">
        <f>33+13</f>
        <v>46</v>
      </c>
      <c r="G55" s="329">
        <v>4</v>
      </c>
      <c r="H55" s="329">
        <v>10</v>
      </c>
      <c r="I55" s="329">
        <v>109</v>
      </c>
      <c r="J55" s="330" t="s">
        <v>51</v>
      </c>
      <c r="K55" s="329">
        <f>1+6+11+18+29</f>
        <v>65</v>
      </c>
    </row>
    <row r="56" spans="1:11" s="125" customFormat="1" ht="8.1" customHeight="1">
      <c r="B56" s="327"/>
      <c r="C56" s="327"/>
      <c r="D56" s="328"/>
      <c r="E56" s="329"/>
      <c r="F56" s="329"/>
      <c r="G56" s="329"/>
      <c r="H56" s="329"/>
      <c r="I56" s="329"/>
      <c r="J56" s="329"/>
      <c r="K56" s="329"/>
    </row>
    <row r="57" spans="1:11" s="125" customFormat="1" ht="12.95" customHeight="1">
      <c r="B57" s="327" t="s">
        <v>55</v>
      </c>
      <c r="C57" s="327"/>
      <c r="D57" s="328">
        <v>2015</v>
      </c>
      <c r="E57" s="329">
        <f>SUM(F57:K57)</f>
        <v>863</v>
      </c>
      <c r="F57" s="329">
        <v>72</v>
      </c>
      <c r="G57" s="329">
        <v>43</v>
      </c>
      <c r="H57" s="329">
        <v>200</v>
      </c>
      <c r="I57" s="329">
        <v>444</v>
      </c>
      <c r="J57" s="330" t="s">
        <v>51</v>
      </c>
      <c r="K57" s="329">
        <v>104</v>
      </c>
    </row>
    <row r="58" spans="1:11" s="125" customFormat="1" ht="12.95" customHeight="1">
      <c r="B58" s="327"/>
      <c r="C58" s="327"/>
      <c r="D58" s="328">
        <v>2016</v>
      </c>
      <c r="E58" s="329">
        <f>SUM(F58:K58)</f>
        <v>788</v>
      </c>
      <c r="F58" s="329">
        <v>77</v>
      </c>
      <c r="G58" s="329">
        <v>27</v>
      </c>
      <c r="H58" s="329">
        <v>163</v>
      </c>
      <c r="I58" s="329">
        <v>408</v>
      </c>
      <c r="J58" s="330" t="s">
        <v>51</v>
      </c>
      <c r="K58" s="329">
        <v>113</v>
      </c>
    </row>
    <row r="59" spans="1:11" s="125" customFormat="1" ht="12.95" customHeight="1">
      <c r="B59" s="327"/>
      <c r="C59" s="327"/>
      <c r="D59" s="328">
        <v>2017</v>
      </c>
      <c r="E59" s="329">
        <f>SUM(F59:K59)</f>
        <v>3</v>
      </c>
      <c r="F59" s="329">
        <v>1</v>
      </c>
      <c r="G59" s="330" t="s">
        <v>51</v>
      </c>
      <c r="H59" s="330" t="s">
        <v>51</v>
      </c>
      <c r="I59" s="329">
        <v>2</v>
      </c>
      <c r="J59" s="330" t="s">
        <v>51</v>
      </c>
      <c r="K59" s="330" t="s">
        <v>51</v>
      </c>
    </row>
    <row r="60" spans="1:11" s="125" customFormat="1" ht="8.1" customHeight="1">
      <c r="B60" s="327"/>
      <c r="C60" s="327"/>
      <c r="D60" s="328"/>
      <c r="E60" s="329"/>
      <c r="F60" s="329"/>
      <c r="G60" s="329"/>
      <c r="H60" s="329"/>
      <c r="I60" s="329"/>
      <c r="J60" s="330"/>
      <c r="K60" s="329"/>
    </row>
    <row r="61" spans="1:11" s="125" customFormat="1" ht="12.95" customHeight="1">
      <c r="B61" s="327" t="s">
        <v>7</v>
      </c>
      <c r="C61" s="327"/>
      <c r="D61" s="328">
        <v>2015</v>
      </c>
      <c r="E61" s="329">
        <f>SUM(F61:K61)</f>
        <v>247</v>
      </c>
      <c r="F61" s="329">
        <v>6</v>
      </c>
      <c r="G61" s="329">
        <v>11</v>
      </c>
      <c r="H61" s="329">
        <v>33</v>
      </c>
      <c r="I61" s="329">
        <v>155</v>
      </c>
      <c r="J61" s="330" t="s">
        <v>51</v>
      </c>
      <c r="K61" s="329">
        <v>42</v>
      </c>
    </row>
    <row r="62" spans="1:11" s="125" customFormat="1" ht="12.95" customHeight="1">
      <c r="B62" s="327"/>
      <c r="C62" s="327"/>
      <c r="D62" s="328">
        <v>2016</v>
      </c>
      <c r="E62" s="329">
        <f>SUM(F62:K62)</f>
        <v>230</v>
      </c>
      <c r="F62" s="329">
        <v>12</v>
      </c>
      <c r="G62" s="329">
        <v>6</v>
      </c>
      <c r="H62" s="329">
        <v>32</v>
      </c>
      <c r="I62" s="329">
        <v>136</v>
      </c>
      <c r="J62" s="329">
        <v>1</v>
      </c>
      <c r="K62" s="329">
        <v>43</v>
      </c>
    </row>
    <row r="63" spans="1:11" s="125" customFormat="1" ht="12.95" customHeight="1">
      <c r="B63" s="327"/>
      <c r="C63" s="327"/>
      <c r="D63" s="328">
        <v>2017</v>
      </c>
      <c r="E63" s="329">
        <f>SUM(F63:K63)</f>
        <v>247</v>
      </c>
      <c r="F63" s="329">
        <f>9+3</f>
        <v>12</v>
      </c>
      <c r="G63" s="329">
        <f>2+3</f>
        <v>5</v>
      </c>
      <c r="H63" s="329">
        <v>50</v>
      </c>
      <c r="I63" s="329">
        <v>150</v>
      </c>
      <c r="J63" s="330" t="s">
        <v>51</v>
      </c>
      <c r="K63" s="329">
        <f>1+3+9+1+16</f>
        <v>30</v>
      </c>
    </row>
    <row r="64" spans="1:11" s="125" customFormat="1" ht="8.1" customHeight="1">
      <c r="B64" s="327"/>
      <c r="C64" s="327"/>
      <c r="D64" s="328"/>
      <c r="E64" s="329"/>
      <c r="F64" s="329"/>
      <c r="G64" s="329"/>
      <c r="H64" s="329"/>
      <c r="I64" s="329"/>
      <c r="J64" s="330"/>
      <c r="K64" s="329"/>
    </row>
    <row r="65" spans="1:11" s="125" customFormat="1" ht="12.95" customHeight="1">
      <c r="B65" s="327" t="s">
        <v>8</v>
      </c>
      <c r="C65" s="327"/>
      <c r="D65" s="328">
        <v>2015</v>
      </c>
      <c r="E65" s="329">
        <f>SUM(F65:K65)</f>
        <v>335</v>
      </c>
      <c r="F65" s="329">
        <v>51</v>
      </c>
      <c r="G65" s="329">
        <v>13</v>
      </c>
      <c r="H65" s="329">
        <v>34</v>
      </c>
      <c r="I65" s="329">
        <v>156</v>
      </c>
      <c r="J65" s="329">
        <v>5</v>
      </c>
      <c r="K65" s="329">
        <v>76</v>
      </c>
    </row>
    <row r="66" spans="1:11" s="125" customFormat="1" ht="12.95" customHeight="1">
      <c r="B66" s="327"/>
      <c r="C66" s="327"/>
      <c r="D66" s="328">
        <v>2016</v>
      </c>
      <c r="E66" s="329">
        <f>SUM(F66:K66)</f>
        <v>295</v>
      </c>
      <c r="F66" s="329">
        <v>75</v>
      </c>
      <c r="G66" s="329">
        <v>14</v>
      </c>
      <c r="H66" s="329">
        <v>23</v>
      </c>
      <c r="I66" s="329">
        <v>135</v>
      </c>
      <c r="J66" s="330" t="s">
        <v>51</v>
      </c>
      <c r="K66" s="329">
        <v>48</v>
      </c>
    </row>
    <row r="67" spans="1:11" s="125" customFormat="1" ht="12.95" customHeight="1">
      <c r="B67" s="327"/>
      <c r="C67" s="327"/>
      <c r="D67" s="328">
        <v>2017</v>
      </c>
      <c r="E67" s="329">
        <f>SUM(F67:K67)</f>
        <v>325</v>
      </c>
      <c r="F67" s="329">
        <v>73</v>
      </c>
      <c r="G67" s="329">
        <v>6</v>
      </c>
      <c r="H67" s="329">
        <v>17</v>
      </c>
      <c r="I67" s="329">
        <v>129</v>
      </c>
      <c r="J67" s="329">
        <v>5</v>
      </c>
      <c r="K67" s="329">
        <f>1+5+37+2+50</f>
        <v>95</v>
      </c>
    </row>
    <row r="68" spans="1:11" s="125" customFormat="1" ht="8.1" customHeight="1">
      <c r="B68" s="327"/>
      <c r="C68" s="327"/>
      <c r="D68" s="328"/>
      <c r="E68" s="329"/>
      <c r="F68" s="329"/>
      <c r="G68" s="329"/>
      <c r="H68" s="329"/>
      <c r="I68" s="329"/>
      <c r="J68" s="329"/>
      <c r="K68" s="329"/>
    </row>
    <row r="69" spans="1:11" ht="12.95" customHeight="1">
      <c r="B69" s="327" t="s">
        <v>56</v>
      </c>
      <c r="C69" s="327"/>
      <c r="D69" s="328">
        <v>2015</v>
      </c>
      <c r="E69" s="329">
        <f>SUM(F69:K69)</f>
        <v>1600</v>
      </c>
      <c r="F69" s="331">
        <v>113</v>
      </c>
      <c r="G69" s="331">
        <v>120</v>
      </c>
      <c r="H69" s="329">
        <v>287</v>
      </c>
      <c r="I69" s="329">
        <v>930</v>
      </c>
      <c r="J69" s="330" t="s">
        <v>51</v>
      </c>
      <c r="K69" s="329">
        <v>150</v>
      </c>
    </row>
    <row r="70" spans="1:11" ht="12.95" customHeight="1">
      <c r="A70" s="125"/>
      <c r="B70" s="327"/>
      <c r="C70" s="327"/>
      <c r="D70" s="328">
        <v>2016</v>
      </c>
      <c r="E70" s="329">
        <f>SUM(F70:K70)</f>
        <v>1528</v>
      </c>
      <c r="F70" s="329">
        <v>94</v>
      </c>
      <c r="G70" s="329">
        <v>121</v>
      </c>
      <c r="H70" s="329">
        <v>273</v>
      </c>
      <c r="I70" s="329">
        <v>921</v>
      </c>
      <c r="J70" s="330" t="s">
        <v>51</v>
      </c>
      <c r="K70" s="329">
        <v>119</v>
      </c>
    </row>
    <row r="71" spans="1:11" ht="12.95" customHeight="1">
      <c r="A71" s="125"/>
      <c r="B71" s="327"/>
      <c r="C71" s="327"/>
      <c r="D71" s="328">
        <v>2017</v>
      </c>
      <c r="E71" s="329">
        <f>SUM(F71:K71)</f>
        <v>1221</v>
      </c>
      <c r="F71" s="331">
        <f>58+48</f>
        <v>106</v>
      </c>
      <c r="G71" s="331">
        <f>1+3+59</f>
        <v>63</v>
      </c>
      <c r="H71" s="329">
        <v>165</v>
      </c>
      <c r="I71" s="329">
        <v>751</v>
      </c>
      <c r="J71" s="330" t="s">
        <v>51</v>
      </c>
      <c r="K71" s="329">
        <v>136</v>
      </c>
    </row>
    <row r="72" spans="1:11" ht="8.1" customHeight="1" thickBot="1">
      <c r="A72" s="283"/>
      <c r="B72" s="332"/>
      <c r="C72" s="332"/>
      <c r="D72" s="333"/>
      <c r="E72" s="334"/>
      <c r="F72" s="335"/>
      <c r="G72" s="335"/>
      <c r="H72" s="334"/>
      <c r="I72" s="334"/>
      <c r="J72" s="336"/>
      <c r="K72" s="334"/>
    </row>
    <row r="73" spans="1:11">
      <c r="B73" s="92"/>
      <c r="C73" s="92"/>
      <c r="D73" s="92"/>
      <c r="E73" s="310"/>
      <c r="F73" s="311"/>
      <c r="G73" s="125"/>
      <c r="H73" s="125"/>
      <c r="I73" s="337"/>
      <c r="J73" s="312"/>
      <c r="K73" s="8" t="s">
        <v>104</v>
      </c>
    </row>
    <row r="74" spans="1:11">
      <c r="B74" s="125"/>
      <c r="C74" s="125"/>
      <c r="D74" s="125"/>
      <c r="E74" s="338"/>
      <c r="F74" s="172"/>
      <c r="G74" s="92"/>
      <c r="H74" s="92"/>
      <c r="I74" s="172"/>
      <c r="J74" s="311"/>
      <c r="K74" s="41" t="s">
        <v>1</v>
      </c>
    </row>
  </sheetData>
  <mergeCells count="6">
    <mergeCell ref="B10:C11"/>
    <mergeCell ref="E10:E11"/>
    <mergeCell ref="F10:F11"/>
    <mergeCell ref="G10:I10"/>
    <mergeCell ref="J10:J11"/>
    <mergeCell ref="K10:K11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4" fitToWidth="0" orientation="portrait" r:id="rId1"/>
  <headerFooter>
    <oddHeader xml:space="preserve">&amp;R&amp;"-,Bold"
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L62"/>
  <sheetViews>
    <sheetView showGridLines="0" zoomScaleNormal="100" zoomScaleSheetLayoutView="100" workbookViewId="0">
      <selection activeCell="AF36" sqref="AF36"/>
    </sheetView>
  </sheetViews>
  <sheetFormatPr defaultRowHeight="15"/>
  <cols>
    <col min="1" max="1" width="1.7109375" style="2" customWidth="1"/>
    <col min="2" max="2" width="9.85546875" style="3" customWidth="1"/>
    <col min="3" max="3" width="7.85546875" style="3" customWidth="1"/>
    <col min="4" max="4" width="10.42578125" style="5" customWidth="1"/>
    <col min="5" max="5" width="10.5703125" style="4" customWidth="1"/>
    <col min="6" max="6" width="11.7109375" style="5" customWidth="1"/>
    <col min="7" max="7" width="11.140625" style="5" customWidth="1"/>
    <col min="8" max="8" width="11.7109375" style="261" customWidth="1"/>
    <col min="9" max="9" width="12.28515625" style="5" customWidth="1"/>
    <col min="10" max="10" width="10.5703125" style="22" customWidth="1"/>
    <col min="11" max="11" width="11.7109375" style="2" customWidth="1"/>
    <col min="12" max="12" width="1.28515625" style="2" customWidth="1"/>
    <col min="13" max="16384" width="9.140625" style="2"/>
  </cols>
  <sheetData>
    <row r="1" spans="1:12" s="30" customFormat="1" ht="12.95" customHeight="1">
      <c r="B1" s="27"/>
      <c r="C1" s="27"/>
      <c r="D1" s="29"/>
      <c r="E1" s="28"/>
      <c r="F1" s="29"/>
      <c r="J1" s="29"/>
      <c r="K1" s="199" t="s">
        <v>188</v>
      </c>
    </row>
    <row r="2" spans="1:12" s="30" customFormat="1" ht="12.95" customHeight="1">
      <c r="B2" s="27"/>
      <c r="C2" s="27"/>
      <c r="D2" s="29"/>
      <c r="E2" s="28"/>
      <c r="F2" s="29"/>
      <c r="J2" s="29"/>
      <c r="K2" s="75" t="s">
        <v>189</v>
      </c>
    </row>
    <row r="3" spans="1:12" s="30" customFormat="1" ht="12" customHeight="1">
      <c r="B3" s="27"/>
      <c r="C3" s="27"/>
      <c r="D3" s="29"/>
      <c r="E3" s="28"/>
      <c r="F3" s="29"/>
      <c r="G3" s="75"/>
      <c r="J3" s="29"/>
    </row>
    <row r="4" spans="1:12" s="30" customFormat="1" ht="12" customHeight="1">
      <c r="B4" s="27"/>
      <c r="C4" s="27"/>
      <c r="D4" s="29"/>
      <c r="E4" s="28"/>
      <c r="F4" s="29"/>
      <c r="G4" s="75"/>
      <c r="J4" s="29"/>
    </row>
    <row r="5" spans="1:12" s="55" customFormat="1" ht="9.9499999999999993" customHeight="1">
      <c r="B5" s="124"/>
      <c r="C5" s="124"/>
      <c r="D5" s="265"/>
      <c r="E5" s="266"/>
      <c r="F5" s="265"/>
      <c r="G5" s="265"/>
      <c r="H5" s="267"/>
      <c r="I5" s="265"/>
      <c r="J5" s="123"/>
    </row>
    <row r="6" spans="1:12" s="55" customFormat="1" ht="15" customHeight="1">
      <c r="B6" s="70" t="s">
        <v>234</v>
      </c>
      <c r="C6" s="71" t="s">
        <v>241</v>
      </c>
      <c r="D6" s="265"/>
      <c r="E6" s="266"/>
      <c r="F6" s="71"/>
      <c r="G6" s="71"/>
      <c r="H6" s="71"/>
      <c r="I6" s="71"/>
      <c r="J6" s="88"/>
      <c r="K6" s="71"/>
      <c r="L6" s="241"/>
    </row>
    <row r="7" spans="1:12" s="55" customFormat="1" ht="18" customHeight="1">
      <c r="B7" s="89" t="s">
        <v>236</v>
      </c>
      <c r="C7" s="95" t="s">
        <v>242</v>
      </c>
      <c r="D7" s="265"/>
      <c r="E7" s="266"/>
      <c r="F7" s="95"/>
      <c r="G7" s="95"/>
      <c r="H7" s="95"/>
      <c r="I7" s="95"/>
      <c r="J7" s="339"/>
      <c r="K7" s="95"/>
      <c r="L7" s="243"/>
    </row>
    <row r="8" spans="1:12" s="55" customFormat="1" ht="8.1" customHeight="1" thickBot="1">
      <c r="B8" s="282"/>
      <c r="C8" s="282"/>
      <c r="D8" s="311"/>
      <c r="E8" s="310"/>
      <c r="F8" s="311"/>
      <c r="G8" s="311"/>
      <c r="H8" s="312"/>
      <c r="I8" s="311"/>
      <c r="J8" s="172"/>
      <c r="K8" s="125"/>
    </row>
    <row r="9" spans="1:12" s="55" customFormat="1" ht="8.1" customHeight="1" thickTop="1">
      <c r="A9" s="268"/>
      <c r="B9" s="270"/>
      <c r="C9" s="270"/>
      <c r="D9" s="273"/>
      <c r="E9" s="313"/>
      <c r="F9" s="273"/>
      <c r="G9" s="273"/>
      <c r="H9" s="314"/>
      <c r="I9" s="273"/>
      <c r="J9" s="272"/>
      <c r="K9" s="268"/>
      <c r="L9" s="268"/>
    </row>
    <row r="10" spans="1:12" s="55" customFormat="1" ht="30.75" customHeight="1">
      <c r="A10" s="249"/>
      <c r="B10" s="315" t="s">
        <v>238</v>
      </c>
      <c r="C10" s="315"/>
      <c r="D10" s="316" t="s">
        <v>100</v>
      </c>
      <c r="E10" s="259" t="s">
        <v>95</v>
      </c>
      <c r="F10" s="259" t="s">
        <v>239</v>
      </c>
      <c r="G10" s="255" t="s">
        <v>218</v>
      </c>
      <c r="H10" s="255"/>
      <c r="I10" s="255"/>
      <c r="J10" s="256" t="s">
        <v>219</v>
      </c>
      <c r="K10" s="259" t="s">
        <v>220</v>
      </c>
      <c r="L10" s="249"/>
    </row>
    <row r="11" spans="1:12" s="111" customFormat="1" ht="55.5" customHeight="1">
      <c r="A11" s="257"/>
      <c r="B11" s="317"/>
      <c r="C11" s="317"/>
      <c r="D11" s="340"/>
      <c r="E11" s="318"/>
      <c r="F11" s="318"/>
      <c r="G11" s="319" t="s">
        <v>221</v>
      </c>
      <c r="H11" s="319" t="s">
        <v>222</v>
      </c>
      <c r="I11" s="319" t="s">
        <v>240</v>
      </c>
      <c r="J11" s="260"/>
      <c r="K11" s="318"/>
      <c r="L11" s="257"/>
    </row>
    <row r="12" spans="1:12" s="111" customFormat="1" ht="8.1" customHeight="1">
      <c r="A12" s="115"/>
      <c r="B12" s="341"/>
      <c r="C12" s="341"/>
      <c r="D12" s="178"/>
      <c r="E12" s="99"/>
      <c r="F12" s="320"/>
      <c r="G12" s="99"/>
      <c r="H12" s="99"/>
      <c r="I12" s="99"/>
      <c r="J12" s="320"/>
      <c r="K12" s="99"/>
    </row>
    <row r="13" spans="1:12" s="125" customFormat="1" ht="15" customHeight="1">
      <c r="B13" s="68" t="s">
        <v>102</v>
      </c>
      <c r="D13" s="130">
        <v>2015</v>
      </c>
      <c r="E13" s="233">
        <f>SUM(F13:K13)</f>
        <v>6506</v>
      </c>
      <c r="F13" s="342">
        <v>1499</v>
      </c>
      <c r="G13" s="134">
        <v>106</v>
      </c>
      <c r="H13" s="134">
        <v>575</v>
      </c>
      <c r="I13" s="134">
        <v>3120</v>
      </c>
      <c r="J13" s="134">
        <v>101</v>
      </c>
      <c r="K13" s="134">
        <v>1105</v>
      </c>
    </row>
    <row r="14" spans="1:12" s="125" customFormat="1" ht="15" customHeight="1">
      <c r="B14" s="115"/>
      <c r="D14" s="130">
        <v>2016</v>
      </c>
      <c r="E14" s="233">
        <f t="shared" ref="E14" si="0">SUM(F14:K14)</f>
        <v>6201</v>
      </c>
      <c r="F14" s="342">
        <v>1287</v>
      </c>
      <c r="G14" s="134">
        <v>111</v>
      </c>
      <c r="H14" s="134">
        <v>497</v>
      </c>
      <c r="I14" s="134">
        <v>3125</v>
      </c>
      <c r="J14" s="134">
        <v>99</v>
      </c>
      <c r="K14" s="134">
        <v>1082</v>
      </c>
    </row>
    <row r="15" spans="1:12" s="125" customFormat="1" ht="15" customHeight="1">
      <c r="B15" s="115"/>
      <c r="D15" s="130">
        <v>2017</v>
      </c>
      <c r="E15" s="233">
        <f>SUM(F15:K15)</f>
        <v>5763</v>
      </c>
      <c r="F15" s="342">
        <f>F19+F23+F27+F31+F35+F39+F43+F47+F51+F55+F59</f>
        <v>1350</v>
      </c>
      <c r="G15" s="134">
        <f>G27+G31+G35+G39+G47+G51+G55+G59</f>
        <v>81</v>
      </c>
      <c r="H15" s="134">
        <f t="shared" ref="H15:K15" si="1">H19+H23+H27+H31+H35+H39+H43+H47+H51+H55+H59</f>
        <v>378</v>
      </c>
      <c r="I15" s="134">
        <f t="shared" si="1"/>
        <v>2846</v>
      </c>
      <c r="J15" s="134">
        <f>J31+J35+J39+J43+J47+J59</f>
        <v>29</v>
      </c>
      <c r="K15" s="134">
        <f t="shared" si="1"/>
        <v>1079</v>
      </c>
      <c r="L15" s="172"/>
    </row>
    <row r="16" spans="1:12" s="125" customFormat="1" ht="8.1" customHeight="1">
      <c r="B16" s="115"/>
      <c r="D16" s="172"/>
      <c r="E16" s="171"/>
      <c r="F16" s="343"/>
      <c r="G16" s="171"/>
      <c r="H16" s="171"/>
      <c r="I16" s="171"/>
      <c r="J16" s="171"/>
      <c r="K16" s="171"/>
    </row>
    <row r="17" spans="2:11" s="125" customFormat="1" ht="15" customHeight="1">
      <c r="B17" s="62" t="s">
        <v>57</v>
      </c>
      <c r="C17" s="91"/>
      <c r="D17" s="177">
        <v>2015</v>
      </c>
      <c r="E17" s="237">
        <f t="shared" ref="E17:E18" si="2">SUM(F17:K17)</f>
        <v>380</v>
      </c>
      <c r="F17" s="343">
        <v>50</v>
      </c>
      <c r="G17" s="171">
        <v>1</v>
      </c>
      <c r="H17" s="171">
        <v>35</v>
      </c>
      <c r="I17" s="171">
        <v>199</v>
      </c>
      <c r="J17" s="171">
        <v>23</v>
      </c>
      <c r="K17" s="171">
        <v>72</v>
      </c>
    </row>
    <row r="18" spans="2:11" s="125" customFormat="1" ht="15" customHeight="1">
      <c r="B18" s="62"/>
      <c r="C18" s="91"/>
      <c r="D18" s="177">
        <v>2016</v>
      </c>
      <c r="E18" s="237">
        <f t="shared" si="2"/>
        <v>351</v>
      </c>
      <c r="F18" s="343">
        <v>41</v>
      </c>
      <c r="G18" s="171">
        <v>4</v>
      </c>
      <c r="H18" s="171">
        <v>17</v>
      </c>
      <c r="I18" s="171">
        <v>224</v>
      </c>
      <c r="J18" s="171">
        <v>5</v>
      </c>
      <c r="K18" s="171">
        <v>60</v>
      </c>
    </row>
    <row r="19" spans="2:11" s="125" customFormat="1" ht="15" customHeight="1">
      <c r="B19" s="62"/>
      <c r="C19" s="91"/>
      <c r="D19" s="177">
        <v>2017</v>
      </c>
      <c r="E19" s="237">
        <f>SUM(F19:K19)</f>
        <v>255</v>
      </c>
      <c r="F19" s="343">
        <f>40+6</f>
        <v>46</v>
      </c>
      <c r="G19" s="344" t="s">
        <v>51</v>
      </c>
      <c r="H19" s="171">
        <v>13</v>
      </c>
      <c r="I19" s="171">
        <v>153</v>
      </c>
      <c r="J19" s="344" t="s">
        <v>51</v>
      </c>
      <c r="K19" s="171">
        <f>1+3+1+8+1+29</f>
        <v>43</v>
      </c>
    </row>
    <row r="20" spans="2:11" s="125" customFormat="1" ht="8.1" customHeight="1">
      <c r="B20" s="62"/>
      <c r="C20" s="91"/>
      <c r="D20" s="177"/>
      <c r="E20" s="237"/>
      <c r="F20" s="343"/>
      <c r="G20" s="171"/>
      <c r="H20" s="171"/>
      <c r="I20" s="171"/>
      <c r="J20" s="171"/>
      <c r="K20" s="171"/>
    </row>
    <row r="21" spans="2:11" s="125" customFormat="1" ht="15" customHeight="1">
      <c r="B21" s="62" t="s">
        <v>58</v>
      </c>
      <c r="C21" s="91"/>
      <c r="D21" s="177">
        <v>2015</v>
      </c>
      <c r="E21" s="237">
        <f t="shared" ref="E21:E22" si="3">SUM(F21:K21)</f>
        <v>57</v>
      </c>
      <c r="F21" s="343">
        <v>12</v>
      </c>
      <c r="G21" s="171">
        <v>1</v>
      </c>
      <c r="H21" s="171">
        <v>2</v>
      </c>
      <c r="I21" s="171">
        <v>14</v>
      </c>
      <c r="J21" s="344" t="s">
        <v>51</v>
      </c>
      <c r="K21" s="171">
        <v>28</v>
      </c>
    </row>
    <row r="22" spans="2:11" s="125" customFormat="1" ht="15" customHeight="1">
      <c r="B22" s="62"/>
      <c r="C22" s="91"/>
      <c r="D22" s="177">
        <v>2016</v>
      </c>
      <c r="E22" s="237">
        <f t="shared" si="3"/>
        <v>52</v>
      </c>
      <c r="F22" s="343">
        <v>11</v>
      </c>
      <c r="G22" s="171">
        <v>1</v>
      </c>
      <c r="H22" s="171">
        <v>4</v>
      </c>
      <c r="I22" s="171">
        <v>24</v>
      </c>
      <c r="J22" s="344" t="s">
        <v>51</v>
      </c>
      <c r="K22" s="171">
        <v>12</v>
      </c>
    </row>
    <row r="23" spans="2:11" s="125" customFormat="1" ht="15" customHeight="1">
      <c r="B23" s="62"/>
      <c r="C23" s="91"/>
      <c r="D23" s="177">
        <v>2017</v>
      </c>
      <c r="E23" s="237">
        <f>SUM(F23:K23)</f>
        <v>57</v>
      </c>
      <c r="F23" s="343">
        <f>9+4</f>
        <v>13</v>
      </c>
      <c r="G23" s="344" t="s">
        <v>51</v>
      </c>
      <c r="H23" s="171">
        <v>4</v>
      </c>
      <c r="I23" s="171">
        <v>19</v>
      </c>
      <c r="J23" s="344" t="s">
        <v>51</v>
      </c>
      <c r="K23" s="171">
        <f>1+3+6+1+10</f>
        <v>21</v>
      </c>
    </row>
    <row r="24" spans="2:11" s="125" customFormat="1" ht="8.1" customHeight="1">
      <c r="B24" s="62"/>
      <c r="C24" s="91"/>
      <c r="D24" s="177"/>
      <c r="E24" s="237"/>
      <c r="F24" s="343"/>
      <c r="G24" s="171"/>
      <c r="H24" s="171"/>
      <c r="I24" s="171"/>
      <c r="J24" s="171"/>
      <c r="K24" s="171"/>
    </row>
    <row r="25" spans="2:11" s="55" customFormat="1" ht="15" customHeight="1">
      <c r="B25" s="62" t="s">
        <v>59</v>
      </c>
      <c r="C25" s="91"/>
      <c r="D25" s="177">
        <v>2015</v>
      </c>
      <c r="E25" s="237">
        <f t="shared" ref="E25:E26" si="4">SUM(F25:K25)</f>
        <v>1686</v>
      </c>
      <c r="F25" s="343">
        <v>513</v>
      </c>
      <c r="G25" s="171">
        <v>23</v>
      </c>
      <c r="H25" s="171">
        <v>147</v>
      </c>
      <c r="I25" s="171">
        <v>756</v>
      </c>
      <c r="J25" s="171">
        <v>11</v>
      </c>
      <c r="K25" s="171">
        <v>236</v>
      </c>
    </row>
    <row r="26" spans="2:11" s="55" customFormat="1" ht="15" customHeight="1">
      <c r="B26" s="62"/>
      <c r="C26" s="91"/>
      <c r="D26" s="177">
        <v>2016</v>
      </c>
      <c r="E26" s="237">
        <f t="shared" si="4"/>
        <v>1649</v>
      </c>
      <c r="F26" s="343">
        <v>388</v>
      </c>
      <c r="G26" s="171">
        <v>25</v>
      </c>
      <c r="H26" s="171">
        <v>154</v>
      </c>
      <c r="I26" s="171">
        <v>755</v>
      </c>
      <c r="J26" s="171">
        <v>1</v>
      </c>
      <c r="K26" s="171">
        <v>326</v>
      </c>
    </row>
    <row r="27" spans="2:11" s="55" customFormat="1" ht="15" customHeight="1">
      <c r="B27" s="62"/>
      <c r="C27" s="91"/>
      <c r="D27" s="177">
        <v>2017</v>
      </c>
      <c r="E27" s="237">
        <f>SUM(F27:K27)</f>
        <v>1387</v>
      </c>
      <c r="F27" s="343">
        <f>275+69</f>
        <v>344</v>
      </c>
      <c r="G27" s="171">
        <f>2+13</f>
        <v>15</v>
      </c>
      <c r="H27" s="171">
        <v>80</v>
      </c>
      <c r="I27" s="171">
        <v>771</v>
      </c>
      <c r="J27" s="344" t="s">
        <v>51</v>
      </c>
      <c r="K27" s="171">
        <f>15+19+94+49</f>
        <v>177</v>
      </c>
    </row>
    <row r="28" spans="2:11" s="55" customFormat="1" ht="8.1" customHeight="1">
      <c r="B28" s="62"/>
      <c r="C28" s="91"/>
      <c r="D28" s="177"/>
      <c r="E28" s="237"/>
      <c r="F28" s="343"/>
      <c r="G28" s="171"/>
      <c r="H28" s="171"/>
      <c r="I28" s="171"/>
      <c r="J28" s="171"/>
      <c r="K28" s="171"/>
    </row>
    <row r="29" spans="2:11" s="55" customFormat="1" ht="15" customHeight="1">
      <c r="B29" s="62" t="s">
        <v>60</v>
      </c>
      <c r="C29" s="91"/>
      <c r="D29" s="177">
        <v>2015</v>
      </c>
      <c r="E29" s="237">
        <f t="shared" ref="E29:E30" si="5">SUM(F29:K29)</f>
        <v>1688</v>
      </c>
      <c r="F29" s="343">
        <v>291</v>
      </c>
      <c r="G29" s="171">
        <v>40</v>
      </c>
      <c r="H29" s="171">
        <v>234</v>
      </c>
      <c r="I29" s="171">
        <v>887</v>
      </c>
      <c r="J29" s="171">
        <v>20</v>
      </c>
      <c r="K29" s="171">
        <v>216</v>
      </c>
    </row>
    <row r="30" spans="2:11" s="55" customFormat="1" ht="15" customHeight="1">
      <c r="B30" s="62"/>
      <c r="C30" s="91"/>
      <c r="D30" s="177">
        <v>2016</v>
      </c>
      <c r="E30" s="237">
        <f t="shared" si="5"/>
        <v>1691</v>
      </c>
      <c r="F30" s="343">
        <v>294</v>
      </c>
      <c r="G30" s="171">
        <v>43</v>
      </c>
      <c r="H30" s="171">
        <v>197</v>
      </c>
      <c r="I30" s="171">
        <v>886</v>
      </c>
      <c r="J30" s="171">
        <v>39</v>
      </c>
      <c r="K30" s="171">
        <v>232</v>
      </c>
    </row>
    <row r="31" spans="2:11" s="55" customFormat="1" ht="15" customHeight="1">
      <c r="B31" s="62"/>
      <c r="C31" s="91"/>
      <c r="D31" s="177">
        <v>2017</v>
      </c>
      <c r="E31" s="237">
        <f>SUM(F31:K31)</f>
        <v>1705</v>
      </c>
      <c r="F31" s="343">
        <v>375</v>
      </c>
      <c r="G31" s="171">
        <v>23</v>
      </c>
      <c r="H31" s="171">
        <v>170</v>
      </c>
      <c r="I31" s="171">
        <v>865</v>
      </c>
      <c r="J31" s="171">
        <v>4</v>
      </c>
      <c r="K31" s="171">
        <v>268</v>
      </c>
    </row>
    <row r="32" spans="2:11" s="55" customFormat="1" ht="8.1" customHeight="1">
      <c r="B32" s="62"/>
      <c r="C32" s="91"/>
      <c r="D32" s="177"/>
      <c r="E32" s="237"/>
      <c r="F32" s="343"/>
      <c r="G32" s="171"/>
      <c r="H32" s="171"/>
      <c r="I32" s="171"/>
      <c r="J32" s="171"/>
      <c r="K32" s="171"/>
    </row>
    <row r="33" spans="2:11" s="55" customFormat="1" ht="15" customHeight="1">
      <c r="B33" s="62" t="s">
        <v>61</v>
      </c>
      <c r="C33" s="91"/>
      <c r="D33" s="177">
        <v>2015</v>
      </c>
      <c r="E33" s="237">
        <f t="shared" ref="E33:E34" si="6">SUM(F33:K33)</f>
        <v>703</v>
      </c>
      <c r="F33" s="343">
        <v>173</v>
      </c>
      <c r="G33" s="171">
        <v>4</v>
      </c>
      <c r="H33" s="171">
        <v>32</v>
      </c>
      <c r="I33" s="171">
        <v>361</v>
      </c>
      <c r="J33" s="171">
        <v>11</v>
      </c>
      <c r="K33" s="171">
        <v>122</v>
      </c>
    </row>
    <row r="34" spans="2:11" s="55" customFormat="1" ht="15" customHeight="1">
      <c r="B34" s="62"/>
      <c r="C34" s="91"/>
      <c r="D34" s="177">
        <v>2016</v>
      </c>
      <c r="E34" s="237">
        <f t="shared" si="6"/>
        <v>674</v>
      </c>
      <c r="F34" s="343">
        <v>168</v>
      </c>
      <c r="G34" s="171">
        <v>7</v>
      </c>
      <c r="H34" s="171">
        <v>36</v>
      </c>
      <c r="I34" s="171">
        <v>318</v>
      </c>
      <c r="J34" s="171">
        <v>22</v>
      </c>
      <c r="K34" s="171">
        <v>123</v>
      </c>
    </row>
    <row r="35" spans="2:11" s="55" customFormat="1" ht="15" customHeight="1">
      <c r="B35" s="62"/>
      <c r="C35" s="91"/>
      <c r="D35" s="177">
        <v>2017</v>
      </c>
      <c r="E35" s="237">
        <f>SUM(F35:K35)</f>
        <v>673</v>
      </c>
      <c r="F35" s="343">
        <v>237</v>
      </c>
      <c r="G35" s="171">
        <v>3</v>
      </c>
      <c r="H35" s="171">
        <v>18</v>
      </c>
      <c r="I35" s="171">
        <v>240</v>
      </c>
      <c r="J35" s="171">
        <v>3</v>
      </c>
      <c r="K35" s="171">
        <f>4+12+33+50+2+71</f>
        <v>172</v>
      </c>
    </row>
    <row r="36" spans="2:11" s="55" customFormat="1" ht="8.1" customHeight="1">
      <c r="B36" s="62"/>
      <c r="C36" s="91"/>
      <c r="D36" s="177"/>
      <c r="E36" s="237"/>
      <c r="F36" s="343"/>
      <c r="G36" s="171"/>
      <c r="H36" s="171"/>
      <c r="I36" s="171"/>
      <c r="J36" s="171"/>
      <c r="K36" s="171"/>
    </row>
    <row r="37" spans="2:11" s="55" customFormat="1" ht="15" customHeight="1">
      <c r="B37" s="62" t="s">
        <v>62</v>
      </c>
      <c r="C37" s="91"/>
      <c r="D37" s="177">
        <v>2015</v>
      </c>
      <c r="E37" s="237">
        <f t="shared" ref="E37:E38" si="7">SUM(F37:K37)</f>
        <v>987</v>
      </c>
      <c r="F37" s="343">
        <v>262</v>
      </c>
      <c r="G37" s="171">
        <v>29</v>
      </c>
      <c r="H37" s="171">
        <v>85</v>
      </c>
      <c r="I37" s="171">
        <v>411</v>
      </c>
      <c r="J37" s="171">
        <v>19</v>
      </c>
      <c r="K37" s="171">
        <v>181</v>
      </c>
    </row>
    <row r="38" spans="2:11" s="55" customFormat="1" ht="15" customHeight="1">
      <c r="B38" s="62"/>
      <c r="C38" s="91"/>
      <c r="D38" s="177">
        <v>2016</v>
      </c>
      <c r="E38" s="237">
        <f t="shared" si="7"/>
        <v>909</v>
      </c>
      <c r="F38" s="343">
        <v>216</v>
      </c>
      <c r="G38" s="171">
        <v>26</v>
      </c>
      <c r="H38" s="171">
        <v>67</v>
      </c>
      <c r="I38" s="171">
        <v>473</v>
      </c>
      <c r="J38" s="171">
        <v>15</v>
      </c>
      <c r="K38" s="171">
        <v>112</v>
      </c>
    </row>
    <row r="39" spans="2:11" s="55" customFormat="1" ht="15" customHeight="1">
      <c r="B39" s="62"/>
      <c r="C39" s="91"/>
      <c r="D39" s="177">
        <v>2017</v>
      </c>
      <c r="E39" s="237">
        <f>SUM(F39:K39)</f>
        <v>847</v>
      </c>
      <c r="F39" s="343">
        <v>168</v>
      </c>
      <c r="G39" s="171">
        <f>1+31</f>
        <v>32</v>
      </c>
      <c r="H39" s="171">
        <v>71</v>
      </c>
      <c r="I39" s="171">
        <v>415</v>
      </c>
      <c r="J39" s="171">
        <v>3</v>
      </c>
      <c r="K39" s="171">
        <f>5+12+41+5+95</f>
        <v>158</v>
      </c>
    </row>
    <row r="40" spans="2:11" s="55" customFormat="1" ht="8.1" customHeight="1">
      <c r="B40" s="62"/>
      <c r="C40" s="91"/>
      <c r="D40" s="177"/>
      <c r="E40" s="237"/>
      <c r="F40" s="343"/>
      <c r="G40" s="171"/>
      <c r="H40" s="171"/>
      <c r="I40" s="171"/>
      <c r="J40" s="171"/>
      <c r="K40" s="171"/>
    </row>
    <row r="41" spans="2:11" s="55" customFormat="1" ht="15" customHeight="1">
      <c r="B41" s="62" t="s">
        <v>63</v>
      </c>
      <c r="C41" s="91"/>
      <c r="D41" s="177">
        <v>2015</v>
      </c>
      <c r="E41" s="237">
        <f t="shared" ref="E41:E42" si="8">SUM(F41:K41)</f>
        <v>455</v>
      </c>
      <c r="F41" s="343">
        <v>90</v>
      </c>
      <c r="G41" s="171">
        <v>3</v>
      </c>
      <c r="H41" s="171">
        <v>2</v>
      </c>
      <c r="I41" s="171">
        <v>190</v>
      </c>
      <c r="J41" s="171">
        <v>9</v>
      </c>
      <c r="K41" s="171">
        <v>161</v>
      </c>
    </row>
    <row r="42" spans="2:11" s="55" customFormat="1" ht="15" customHeight="1">
      <c r="B42" s="62"/>
      <c r="C42" s="91"/>
      <c r="D42" s="177">
        <v>2016</v>
      </c>
      <c r="E42" s="237">
        <f t="shared" si="8"/>
        <v>388</v>
      </c>
      <c r="F42" s="343">
        <v>96</v>
      </c>
      <c r="G42" s="171">
        <v>1</v>
      </c>
      <c r="H42" s="171">
        <v>6</v>
      </c>
      <c r="I42" s="171">
        <v>142</v>
      </c>
      <c r="J42" s="171">
        <v>9</v>
      </c>
      <c r="K42" s="171">
        <v>134</v>
      </c>
    </row>
    <row r="43" spans="2:11" s="55" customFormat="1" ht="15" customHeight="1">
      <c r="B43" s="62"/>
      <c r="C43" s="91"/>
      <c r="D43" s="177">
        <v>2017</v>
      </c>
      <c r="E43" s="237">
        <f>SUM(F43:K43)</f>
        <v>353</v>
      </c>
      <c r="F43" s="343">
        <f>58+22</f>
        <v>80</v>
      </c>
      <c r="G43" s="344" t="s">
        <v>51</v>
      </c>
      <c r="H43" s="171">
        <v>2</v>
      </c>
      <c r="I43" s="171">
        <v>117</v>
      </c>
      <c r="J43" s="171">
        <v>17</v>
      </c>
      <c r="K43" s="171">
        <f>5+4+62+66</f>
        <v>137</v>
      </c>
    </row>
    <row r="44" spans="2:11" s="55" customFormat="1" ht="8.1" customHeight="1">
      <c r="B44" s="62"/>
      <c r="C44" s="91"/>
      <c r="D44" s="177"/>
      <c r="E44" s="237"/>
      <c r="F44" s="343"/>
      <c r="G44" s="171"/>
      <c r="H44" s="171"/>
      <c r="I44" s="171"/>
      <c r="J44" s="171"/>
      <c r="K44" s="171"/>
    </row>
    <row r="45" spans="2:11" s="55" customFormat="1" ht="15" customHeight="1">
      <c r="B45" s="62" t="s">
        <v>64</v>
      </c>
      <c r="C45" s="91"/>
      <c r="D45" s="177">
        <v>2015</v>
      </c>
      <c r="E45" s="237">
        <f t="shared" ref="E45:E46" si="9">SUM(F45:K45)</f>
        <v>102</v>
      </c>
      <c r="F45" s="343">
        <v>19</v>
      </c>
      <c r="G45" s="344" t="s">
        <v>51</v>
      </c>
      <c r="H45" s="171" t="s">
        <v>51</v>
      </c>
      <c r="I45" s="171">
        <v>55</v>
      </c>
      <c r="J45" s="171">
        <v>2</v>
      </c>
      <c r="K45" s="171">
        <v>26</v>
      </c>
    </row>
    <row r="46" spans="2:11" s="55" customFormat="1" ht="15" customHeight="1">
      <c r="B46" s="62"/>
      <c r="C46" s="91"/>
      <c r="D46" s="177">
        <v>2016</v>
      </c>
      <c r="E46" s="237">
        <f t="shared" si="9"/>
        <v>81</v>
      </c>
      <c r="F46" s="343">
        <v>10</v>
      </c>
      <c r="G46" s="171">
        <v>2</v>
      </c>
      <c r="H46" s="171">
        <v>2</v>
      </c>
      <c r="I46" s="171">
        <v>49</v>
      </c>
      <c r="J46" s="344" t="s">
        <v>51</v>
      </c>
      <c r="K46" s="171">
        <v>18</v>
      </c>
    </row>
    <row r="47" spans="2:11" s="55" customFormat="1" ht="15" customHeight="1">
      <c r="B47" s="62"/>
      <c r="C47" s="91"/>
      <c r="D47" s="177">
        <v>2017</v>
      </c>
      <c r="E47" s="237">
        <f>SUM(F47:K47)</f>
        <v>100</v>
      </c>
      <c r="F47" s="343">
        <f>20+6</f>
        <v>26</v>
      </c>
      <c r="G47" s="171">
        <v>1</v>
      </c>
      <c r="H47" s="171">
        <v>4</v>
      </c>
      <c r="I47" s="171">
        <v>53</v>
      </c>
      <c r="J47" s="171">
        <v>1</v>
      </c>
      <c r="K47" s="171">
        <f>1+4+10</f>
        <v>15</v>
      </c>
    </row>
    <row r="48" spans="2:11" s="55" customFormat="1" ht="8.1" customHeight="1">
      <c r="B48" s="62"/>
      <c r="C48" s="91"/>
      <c r="D48" s="177"/>
      <c r="E48" s="237"/>
      <c r="F48" s="343"/>
      <c r="G48" s="171"/>
      <c r="H48" s="171"/>
      <c r="I48" s="171"/>
      <c r="J48" s="171"/>
      <c r="K48" s="171"/>
    </row>
    <row r="49" spans="1:12" s="55" customFormat="1" ht="15" customHeight="1">
      <c r="B49" s="62" t="s">
        <v>65</v>
      </c>
      <c r="C49" s="91"/>
      <c r="D49" s="177">
        <v>2015</v>
      </c>
      <c r="E49" s="237">
        <f t="shared" ref="E49:E50" si="10">SUM(F49:K49)</f>
        <v>214</v>
      </c>
      <c r="F49" s="343">
        <v>57</v>
      </c>
      <c r="G49" s="171">
        <v>3</v>
      </c>
      <c r="H49" s="171">
        <v>20</v>
      </c>
      <c r="I49" s="171">
        <v>100</v>
      </c>
      <c r="J49" s="171">
        <v>4</v>
      </c>
      <c r="K49" s="171">
        <v>30</v>
      </c>
    </row>
    <row r="50" spans="1:12" s="55" customFormat="1" ht="15" customHeight="1">
      <c r="B50" s="62"/>
      <c r="C50" s="91"/>
      <c r="D50" s="177">
        <v>2016</v>
      </c>
      <c r="E50" s="237">
        <f t="shared" si="10"/>
        <v>194</v>
      </c>
      <c r="F50" s="343">
        <v>40</v>
      </c>
      <c r="G50" s="171">
        <v>1</v>
      </c>
      <c r="H50" s="171">
        <v>6</v>
      </c>
      <c r="I50" s="171">
        <v>113</v>
      </c>
      <c r="J50" s="171">
        <v>4</v>
      </c>
      <c r="K50" s="171">
        <v>30</v>
      </c>
    </row>
    <row r="51" spans="1:12" s="55" customFormat="1" ht="15" customHeight="1">
      <c r="A51" s="125"/>
      <c r="B51" s="62"/>
      <c r="C51" s="91"/>
      <c r="D51" s="177">
        <v>2017</v>
      </c>
      <c r="E51" s="237">
        <f>SUM(F51:K51)</f>
        <v>208</v>
      </c>
      <c r="F51" s="343">
        <f>39+3</f>
        <v>42</v>
      </c>
      <c r="G51" s="171">
        <v>4</v>
      </c>
      <c r="H51" s="171">
        <v>9</v>
      </c>
      <c r="I51" s="171">
        <v>99</v>
      </c>
      <c r="J51" s="344" t="s">
        <v>51</v>
      </c>
      <c r="K51" s="171">
        <f>7+2+19+26</f>
        <v>54</v>
      </c>
    </row>
    <row r="52" spans="1:12" s="55" customFormat="1" ht="8.1" customHeight="1">
      <c r="B52" s="62"/>
      <c r="C52" s="91"/>
      <c r="D52" s="177"/>
      <c r="E52" s="237"/>
      <c r="F52" s="343"/>
      <c r="G52" s="171"/>
      <c r="H52" s="171"/>
      <c r="I52" s="171"/>
      <c r="J52" s="171"/>
      <c r="K52" s="171"/>
    </row>
    <row r="53" spans="1:12" s="125" customFormat="1" ht="15" customHeight="1">
      <c r="B53" s="62" t="s">
        <v>66</v>
      </c>
      <c r="C53" s="91"/>
      <c r="D53" s="177">
        <v>2015</v>
      </c>
      <c r="E53" s="237">
        <f t="shared" ref="E53:E54" si="11">SUM(F53:K53)</f>
        <v>96</v>
      </c>
      <c r="F53" s="343">
        <v>13</v>
      </c>
      <c r="G53" s="171">
        <v>1</v>
      </c>
      <c r="H53" s="171">
        <v>9</v>
      </c>
      <c r="I53" s="171">
        <v>55</v>
      </c>
      <c r="J53" s="171">
        <v>1</v>
      </c>
      <c r="K53" s="171">
        <v>17</v>
      </c>
    </row>
    <row r="54" spans="1:12" s="125" customFormat="1" ht="15" customHeight="1">
      <c r="B54" s="62"/>
      <c r="C54" s="91"/>
      <c r="D54" s="177">
        <v>2016</v>
      </c>
      <c r="E54" s="237">
        <f t="shared" si="11"/>
        <v>86</v>
      </c>
      <c r="F54" s="343">
        <v>7</v>
      </c>
      <c r="G54" s="344" t="s">
        <v>51</v>
      </c>
      <c r="H54" s="171">
        <v>5</v>
      </c>
      <c r="I54" s="171">
        <v>60</v>
      </c>
      <c r="J54" s="171">
        <v>2</v>
      </c>
      <c r="K54" s="171">
        <v>12</v>
      </c>
    </row>
    <row r="55" spans="1:12" s="125" customFormat="1" ht="15" customHeight="1">
      <c r="B55" s="62"/>
      <c r="C55" s="91"/>
      <c r="D55" s="177">
        <v>2017</v>
      </c>
      <c r="E55" s="237">
        <f>SUM(F55:K55)</f>
        <v>55</v>
      </c>
      <c r="F55" s="343">
        <v>8</v>
      </c>
      <c r="G55" s="171">
        <v>1</v>
      </c>
      <c r="H55" s="171">
        <v>1</v>
      </c>
      <c r="I55" s="171">
        <v>28</v>
      </c>
      <c r="J55" s="344" t="s">
        <v>51</v>
      </c>
      <c r="K55" s="171">
        <f>1+7+9</f>
        <v>17</v>
      </c>
    </row>
    <row r="56" spans="1:12" s="125" customFormat="1" ht="8.1" customHeight="1">
      <c r="B56" s="62"/>
      <c r="C56" s="91"/>
      <c r="D56" s="177"/>
      <c r="E56" s="237"/>
      <c r="F56" s="343"/>
      <c r="G56" s="171"/>
      <c r="H56" s="171"/>
      <c r="I56" s="171"/>
      <c r="J56" s="171"/>
      <c r="K56" s="171"/>
    </row>
    <row r="57" spans="1:12" s="125" customFormat="1" ht="15" customHeight="1">
      <c r="B57" s="62" t="s">
        <v>67</v>
      </c>
      <c r="C57" s="91"/>
      <c r="D57" s="177">
        <v>2015</v>
      </c>
      <c r="E57" s="237">
        <f t="shared" ref="E57:E58" si="12">SUM(F57:K57)</f>
        <v>138</v>
      </c>
      <c r="F57" s="343">
        <v>19</v>
      </c>
      <c r="G57" s="171">
        <v>1</v>
      </c>
      <c r="H57" s="171">
        <v>9</v>
      </c>
      <c r="I57" s="171">
        <v>92</v>
      </c>
      <c r="J57" s="171">
        <v>1</v>
      </c>
      <c r="K57" s="171">
        <v>16</v>
      </c>
    </row>
    <row r="58" spans="1:12" s="125" customFormat="1" ht="15" customHeight="1">
      <c r="B58" s="62"/>
      <c r="C58" s="91"/>
      <c r="D58" s="177">
        <v>2016</v>
      </c>
      <c r="E58" s="237">
        <f t="shared" si="12"/>
        <v>126</v>
      </c>
      <c r="F58" s="343">
        <v>16</v>
      </c>
      <c r="G58" s="171">
        <v>1</v>
      </c>
      <c r="H58" s="171">
        <v>3</v>
      </c>
      <c r="I58" s="171">
        <v>81</v>
      </c>
      <c r="J58" s="171">
        <v>2</v>
      </c>
      <c r="K58" s="171">
        <v>23</v>
      </c>
    </row>
    <row r="59" spans="1:12" s="125" customFormat="1" ht="15" customHeight="1">
      <c r="B59" s="62"/>
      <c r="C59" s="91"/>
      <c r="D59" s="177">
        <v>2017</v>
      </c>
      <c r="E59" s="237">
        <f>SUM(F59:K59)</f>
        <v>123</v>
      </c>
      <c r="F59" s="343">
        <v>11</v>
      </c>
      <c r="G59" s="171">
        <v>2</v>
      </c>
      <c r="H59" s="171">
        <v>6</v>
      </c>
      <c r="I59" s="171">
        <v>86</v>
      </c>
      <c r="J59" s="171">
        <v>1</v>
      </c>
      <c r="K59" s="171">
        <f>2+7+8</f>
        <v>17</v>
      </c>
    </row>
    <row r="60" spans="1:12" s="7" customFormat="1" ht="8.1" customHeight="1" thickBot="1">
      <c r="A60" s="34"/>
      <c r="B60" s="16"/>
      <c r="C60" s="212"/>
      <c r="D60" s="345"/>
      <c r="E60" s="239"/>
      <c r="F60" s="239"/>
      <c r="G60" s="239"/>
      <c r="H60" s="239"/>
      <c r="I60" s="239"/>
      <c r="J60" s="186"/>
      <c r="K60" s="239"/>
      <c r="L60" s="34"/>
    </row>
    <row r="61" spans="1:12">
      <c r="B61" s="346"/>
      <c r="C61" s="346"/>
      <c r="D61" s="347"/>
      <c r="E61" s="245"/>
      <c r="F61" s="246"/>
      <c r="G61" s="7"/>
      <c r="H61" s="7"/>
      <c r="I61" s="348"/>
      <c r="J61" s="247"/>
      <c r="K61" s="8" t="s">
        <v>104</v>
      </c>
    </row>
    <row r="62" spans="1:12">
      <c r="B62" s="7"/>
      <c r="C62" s="7"/>
      <c r="D62" s="347"/>
      <c r="E62" s="349"/>
      <c r="F62" s="347"/>
      <c r="G62" s="346"/>
      <c r="H62" s="346"/>
      <c r="I62" s="347"/>
      <c r="J62" s="246"/>
      <c r="K62" s="41" t="s">
        <v>1</v>
      </c>
    </row>
  </sheetData>
  <mergeCells count="6">
    <mergeCell ref="B10:C11"/>
    <mergeCell ref="E10:E11"/>
    <mergeCell ref="F10:F11"/>
    <mergeCell ref="G10:I10"/>
    <mergeCell ref="J10:J11"/>
    <mergeCell ref="K10:K11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5" fitToWidth="0" orientation="portrait" r:id="rId1"/>
  <headerFooter>
    <oddHeader xml:space="preserve">&amp;R&amp;"-,Bold"
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N58"/>
  <sheetViews>
    <sheetView showGridLines="0" zoomScaleNormal="100" zoomScaleSheetLayoutView="100" workbookViewId="0">
      <selection activeCell="AF36" sqref="AF36"/>
    </sheetView>
  </sheetViews>
  <sheetFormatPr defaultRowHeight="15"/>
  <cols>
    <col min="1" max="1" width="0.85546875" style="2" customWidth="1"/>
    <col min="2" max="2" width="10" style="3" customWidth="1"/>
    <col min="3" max="3" width="6.85546875" style="3" customWidth="1"/>
    <col min="4" max="4" width="8.5703125" style="3" customWidth="1"/>
    <col min="5" max="5" width="11.7109375" style="4" customWidth="1"/>
    <col min="6" max="7" width="11.7109375" style="5" customWidth="1"/>
    <col min="8" max="8" width="11.7109375" style="261" customWidth="1"/>
    <col min="9" max="9" width="12.28515625" style="5" customWidth="1"/>
    <col min="10" max="11" width="11.7109375" style="2" customWidth="1"/>
    <col min="12" max="12" width="0.7109375" style="2" customWidth="1"/>
    <col min="13" max="16384" width="9.140625" style="2"/>
  </cols>
  <sheetData>
    <row r="1" spans="1:12" s="30" customFormat="1" ht="12.95" customHeight="1">
      <c r="B1" s="27"/>
      <c r="C1" s="27"/>
      <c r="D1" s="29"/>
      <c r="E1" s="28"/>
      <c r="F1" s="29"/>
      <c r="J1" s="29"/>
      <c r="K1" s="199" t="s">
        <v>188</v>
      </c>
    </row>
    <row r="2" spans="1:12" s="30" customFormat="1" ht="12.95" customHeight="1">
      <c r="B2" s="27"/>
      <c r="C2" s="27"/>
      <c r="D2" s="29"/>
      <c r="E2" s="28"/>
      <c r="F2" s="29"/>
      <c r="J2" s="29"/>
      <c r="K2" s="75" t="s">
        <v>189</v>
      </c>
    </row>
    <row r="3" spans="1:12" s="30" customFormat="1" ht="12" customHeight="1">
      <c r="B3" s="27"/>
      <c r="C3" s="27"/>
      <c r="D3" s="29"/>
      <c r="E3" s="28"/>
      <c r="F3" s="29"/>
      <c r="G3" s="75"/>
      <c r="J3" s="29"/>
    </row>
    <row r="4" spans="1:12" s="30" customFormat="1" ht="12" customHeight="1">
      <c r="B4" s="27"/>
      <c r="C4" s="27"/>
      <c r="D4" s="29"/>
      <c r="E4" s="28"/>
      <c r="F4" s="29"/>
      <c r="G4" s="75"/>
      <c r="J4" s="29"/>
    </row>
    <row r="5" spans="1:12" s="55" customFormat="1" ht="9.9499999999999993" customHeight="1">
      <c r="B5" s="124"/>
      <c r="C5" s="124"/>
      <c r="D5" s="265"/>
      <c r="E5" s="266"/>
      <c r="F5" s="265"/>
      <c r="G5" s="265"/>
      <c r="H5" s="267"/>
      <c r="I5" s="265"/>
      <c r="J5" s="123"/>
    </row>
    <row r="6" spans="1:12" s="55" customFormat="1" ht="15" customHeight="1">
      <c r="B6" s="70" t="s">
        <v>234</v>
      </c>
      <c r="C6" s="71" t="s">
        <v>241</v>
      </c>
      <c r="D6" s="265"/>
      <c r="E6" s="266"/>
      <c r="F6" s="71"/>
      <c r="G6" s="71"/>
      <c r="H6" s="71"/>
      <c r="I6" s="71"/>
      <c r="J6" s="88"/>
      <c r="K6" s="71"/>
      <c r="L6" s="241"/>
    </row>
    <row r="7" spans="1:12" s="55" customFormat="1" ht="18" customHeight="1">
      <c r="B7" s="89" t="s">
        <v>236</v>
      </c>
      <c r="C7" s="95" t="s">
        <v>242</v>
      </c>
      <c r="D7" s="265"/>
      <c r="E7" s="266"/>
      <c r="F7" s="95"/>
      <c r="G7" s="95"/>
      <c r="H7" s="95"/>
      <c r="I7" s="95"/>
      <c r="J7" s="339"/>
      <c r="K7" s="95"/>
      <c r="L7" s="243"/>
    </row>
    <row r="8" spans="1:12" s="55" customFormat="1" ht="8.1" customHeight="1" thickBot="1">
      <c r="B8" s="282"/>
      <c r="C8" s="282"/>
      <c r="D8" s="311"/>
      <c r="E8" s="310"/>
      <c r="F8" s="311"/>
      <c r="G8" s="311"/>
      <c r="H8" s="312"/>
      <c r="I8" s="311"/>
      <c r="J8" s="172"/>
      <c r="K8" s="125"/>
    </row>
    <row r="9" spans="1:12" s="55" customFormat="1" ht="8.1" customHeight="1" thickTop="1">
      <c r="A9" s="268"/>
      <c r="B9" s="270"/>
      <c r="C9" s="270"/>
      <c r="D9" s="273"/>
      <c r="E9" s="313"/>
      <c r="F9" s="273"/>
      <c r="G9" s="273"/>
      <c r="H9" s="314"/>
      <c r="I9" s="273"/>
      <c r="J9" s="272"/>
      <c r="K9" s="268"/>
      <c r="L9" s="268"/>
    </row>
    <row r="10" spans="1:12" s="55" customFormat="1" ht="30.75" customHeight="1">
      <c r="A10" s="249"/>
      <c r="B10" s="315" t="s">
        <v>238</v>
      </c>
      <c r="C10" s="315"/>
      <c r="D10" s="350" t="s">
        <v>100</v>
      </c>
      <c r="E10" s="259" t="s">
        <v>95</v>
      </c>
      <c r="F10" s="259" t="s">
        <v>239</v>
      </c>
      <c r="G10" s="255" t="s">
        <v>218</v>
      </c>
      <c r="H10" s="255"/>
      <c r="I10" s="255"/>
      <c r="J10" s="256" t="s">
        <v>219</v>
      </c>
      <c r="K10" s="259" t="s">
        <v>220</v>
      </c>
      <c r="L10" s="249"/>
    </row>
    <row r="11" spans="1:12" s="111" customFormat="1" ht="55.5" customHeight="1">
      <c r="A11" s="257"/>
      <c r="B11" s="317"/>
      <c r="C11" s="317"/>
      <c r="D11" s="340"/>
      <c r="E11" s="318"/>
      <c r="F11" s="318"/>
      <c r="G11" s="319" t="s">
        <v>221</v>
      </c>
      <c r="H11" s="319" t="s">
        <v>222</v>
      </c>
      <c r="I11" s="319" t="s">
        <v>240</v>
      </c>
      <c r="J11" s="260"/>
      <c r="K11" s="318"/>
      <c r="L11" s="257"/>
    </row>
    <row r="12" spans="1:12" s="111" customFormat="1" ht="8.1" customHeight="1">
      <c r="A12" s="115"/>
      <c r="B12" s="341"/>
      <c r="C12" s="341"/>
      <c r="D12" s="178"/>
      <c r="E12" s="99"/>
      <c r="F12" s="320"/>
      <c r="G12" s="99"/>
      <c r="H12" s="99"/>
      <c r="I12" s="99"/>
      <c r="J12" s="320"/>
      <c r="K12" s="99"/>
      <c r="L12" s="115"/>
    </row>
    <row r="13" spans="1:12" s="125" customFormat="1" ht="15" customHeight="1">
      <c r="B13" s="68" t="s">
        <v>196</v>
      </c>
      <c r="D13" s="351">
        <v>2015</v>
      </c>
      <c r="E13" s="352">
        <f>SUM(F13:K13)</f>
        <v>4387</v>
      </c>
      <c r="F13" s="353">
        <v>893</v>
      </c>
      <c r="G13" s="354">
        <v>90</v>
      </c>
      <c r="H13" s="354">
        <v>737</v>
      </c>
      <c r="I13" s="354">
        <v>2112</v>
      </c>
      <c r="J13" s="352">
        <v>63</v>
      </c>
      <c r="K13" s="354">
        <v>492</v>
      </c>
    </row>
    <row r="14" spans="1:12" s="125" customFormat="1" ht="15" customHeight="1">
      <c r="B14" s="115"/>
      <c r="D14" s="351">
        <v>2016</v>
      </c>
      <c r="E14" s="352">
        <f>SUM(F14:K14)</f>
        <v>4005</v>
      </c>
      <c r="F14" s="353">
        <v>682</v>
      </c>
      <c r="G14" s="354">
        <v>90</v>
      </c>
      <c r="H14" s="354">
        <v>614</v>
      </c>
      <c r="I14" s="354">
        <v>1945</v>
      </c>
      <c r="J14" s="352">
        <v>61</v>
      </c>
      <c r="K14" s="354">
        <v>613</v>
      </c>
    </row>
    <row r="15" spans="1:12" s="125" customFormat="1" ht="15" customHeight="1">
      <c r="B15" s="115"/>
      <c r="D15" s="351">
        <v>2017</v>
      </c>
      <c r="E15" s="352">
        <f>SUM(F15:K15)</f>
        <v>3920</v>
      </c>
      <c r="F15" s="353">
        <f>F19+F23+F27+F31+F35+F39+F43+F47+F51+F55</f>
        <v>570</v>
      </c>
      <c r="G15" s="354">
        <f>G19+G23+G31+G35+G39+G43+G47+G51+G55</f>
        <v>98</v>
      </c>
      <c r="H15" s="354">
        <f t="shared" ref="H15:L15" si="0">H19+H23+H27+H31+H35+H39+H43+H47+H51+H55</f>
        <v>722</v>
      </c>
      <c r="I15" s="354">
        <f t="shared" si="0"/>
        <v>1983</v>
      </c>
      <c r="J15" s="355" t="s">
        <v>51</v>
      </c>
      <c r="K15" s="354">
        <f t="shared" si="0"/>
        <v>547</v>
      </c>
      <c r="L15" s="353">
        <f t="shared" si="0"/>
        <v>0</v>
      </c>
    </row>
    <row r="16" spans="1:12" s="125" customFormat="1" ht="8.1" customHeight="1">
      <c r="B16" s="115"/>
      <c r="D16" s="325"/>
      <c r="E16" s="93"/>
      <c r="F16" s="356"/>
      <c r="G16" s="93"/>
      <c r="H16" s="93"/>
      <c r="I16" s="93"/>
      <c r="J16" s="325"/>
      <c r="K16" s="93"/>
    </row>
    <row r="17" spans="1:11" s="125" customFormat="1" ht="15" customHeight="1">
      <c r="A17" s="124"/>
      <c r="B17" s="62" t="s">
        <v>11</v>
      </c>
      <c r="C17" s="91"/>
      <c r="D17" s="325">
        <v>2015</v>
      </c>
      <c r="E17" s="357">
        <f t="shared" ref="E17:E18" si="1">SUM(F17:K17)</f>
        <v>339</v>
      </c>
      <c r="F17" s="358">
        <v>83</v>
      </c>
      <c r="G17" s="357">
        <v>4</v>
      </c>
      <c r="H17" s="357">
        <v>48</v>
      </c>
      <c r="I17" s="357">
        <v>116</v>
      </c>
      <c r="J17" s="357">
        <v>9</v>
      </c>
      <c r="K17" s="357">
        <v>79</v>
      </c>
    </row>
    <row r="18" spans="1:11" s="125" customFormat="1" ht="15" customHeight="1">
      <c r="B18" s="62"/>
      <c r="C18" s="91"/>
      <c r="D18" s="325">
        <v>2016</v>
      </c>
      <c r="E18" s="357">
        <f t="shared" si="1"/>
        <v>290</v>
      </c>
      <c r="F18" s="358">
        <v>73</v>
      </c>
      <c r="G18" s="357">
        <v>5</v>
      </c>
      <c r="H18" s="357">
        <v>17</v>
      </c>
      <c r="I18" s="357">
        <v>104</v>
      </c>
      <c r="J18" s="357">
        <v>3</v>
      </c>
      <c r="K18" s="357">
        <v>88</v>
      </c>
    </row>
    <row r="19" spans="1:11" s="125" customFormat="1" ht="15" customHeight="1">
      <c r="B19" s="62"/>
      <c r="C19" s="91"/>
      <c r="D19" s="325">
        <v>2017</v>
      </c>
      <c r="E19" s="357">
        <f>SUM(F19:K19)</f>
        <v>253</v>
      </c>
      <c r="F19" s="358">
        <f>55+12</f>
        <v>67</v>
      </c>
      <c r="G19" s="357">
        <v>5</v>
      </c>
      <c r="H19" s="357">
        <v>19</v>
      </c>
      <c r="I19" s="357">
        <v>130</v>
      </c>
      <c r="J19" s="359" t="s">
        <v>51</v>
      </c>
      <c r="K19" s="357">
        <f>3+4+10+1+14</f>
        <v>32</v>
      </c>
    </row>
    <row r="20" spans="1:11" s="125" customFormat="1" ht="8.1" customHeight="1">
      <c r="A20" s="55"/>
      <c r="B20" s="62"/>
      <c r="C20" s="91"/>
      <c r="D20" s="325"/>
      <c r="E20" s="357"/>
      <c r="F20" s="358"/>
      <c r="G20" s="360"/>
      <c r="H20" s="360"/>
      <c r="I20" s="357"/>
      <c r="J20" s="360"/>
      <c r="K20" s="360"/>
    </row>
    <row r="21" spans="1:11" s="125" customFormat="1" ht="15" customHeight="1">
      <c r="A21" s="55"/>
      <c r="B21" s="62" t="s">
        <v>18</v>
      </c>
      <c r="C21" s="91"/>
      <c r="D21" s="325">
        <v>2015</v>
      </c>
      <c r="E21" s="357">
        <f t="shared" ref="E21:E22" si="2">SUM(F21:K21)</f>
        <v>193</v>
      </c>
      <c r="F21" s="361">
        <v>78</v>
      </c>
      <c r="G21" s="359">
        <v>5</v>
      </c>
      <c r="H21" s="357">
        <v>29</v>
      </c>
      <c r="I21" s="359">
        <v>51</v>
      </c>
      <c r="J21" s="359" t="s">
        <v>51</v>
      </c>
      <c r="K21" s="357">
        <v>30</v>
      </c>
    </row>
    <row r="22" spans="1:11" s="125" customFormat="1" ht="15" customHeight="1">
      <c r="A22" s="55"/>
      <c r="B22" s="62"/>
      <c r="C22" s="91"/>
      <c r="D22" s="325">
        <v>2016</v>
      </c>
      <c r="E22" s="357">
        <f t="shared" si="2"/>
        <v>192</v>
      </c>
      <c r="F22" s="358">
        <v>34</v>
      </c>
      <c r="G22" s="357">
        <v>3</v>
      </c>
      <c r="H22" s="357">
        <v>36</v>
      </c>
      <c r="I22" s="357">
        <v>93</v>
      </c>
      <c r="J22" s="357">
        <v>2</v>
      </c>
      <c r="K22" s="357">
        <v>24</v>
      </c>
    </row>
    <row r="23" spans="1:11" s="125" customFormat="1" ht="15" customHeight="1">
      <c r="B23" s="62"/>
      <c r="C23" s="91"/>
      <c r="D23" s="325">
        <v>2017</v>
      </c>
      <c r="E23" s="357">
        <f>SUM(F23:K23)</f>
        <v>164</v>
      </c>
      <c r="F23" s="361">
        <f>24+2</f>
        <v>26</v>
      </c>
      <c r="G23" s="357">
        <v>2</v>
      </c>
      <c r="H23" s="357">
        <v>26</v>
      </c>
      <c r="I23" s="359">
        <v>72</v>
      </c>
      <c r="J23" s="359" t="s">
        <v>51</v>
      </c>
      <c r="K23" s="357">
        <f>4+5+12+17</f>
        <v>38</v>
      </c>
    </row>
    <row r="24" spans="1:11" s="125" customFormat="1" ht="8.1" customHeight="1">
      <c r="B24" s="62"/>
      <c r="C24" s="91"/>
      <c r="D24" s="325"/>
      <c r="E24" s="357"/>
      <c r="F24" s="361"/>
      <c r="G24" s="357"/>
      <c r="H24" s="357"/>
      <c r="I24" s="359"/>
      <c r="J24" s="357"/>
      <c r="K24" s="357"/>
    </row>
    <row r="25" spans="1:11" s="125" customFormat="1" ht="15" customHeight="1">
      <c r="B25" s="62" t="s">
        <v>20</v>
      </c>
      <c r="C25" s="91"/>
      <c r="D25" s="325">
        <v>2015</v>
      </c>
      <c r="E25" s="357">
        <f t="shared" ref="E25:E26" si="3">SUM(F25:K25)</f>
        <v>70</v>
      </c>
      <c r="F25" s="358">
        <v>14</v>
      </c>
      <c r="G25" s="357">
        <v>3</v>
      </c>
      <c r="H25" s="357">
        <v>2</v>
      </c>
      <c r="I25" s="357">
        <v>32</v>
      </c>
      <c r="J25" s="357">
        <v>1</v>
      </c>
      <c r="K25" s="357">
        <v>18</v>
      </c>
    </row>
    <row r="26" spans="1:11" s="125" customFormat="1" ht="15" customHeight="1">
      <c r="A26" s="55"/>
      <c r="B26" s="62"/>
      <c r="C26" s="91"/>
      <c r="D26" s="325">
        <v>2016</v>
      </c>
      <c r="E26" s="357">
        <f t="shared" si="3"/>
        <v>38</v>
      </c>
      <c r="F26" s="358">
        <v>12</v>
      </c>
      <c r="G26" s="357">
        <v>2</v>
      </c>
      <c r="H26" s="357">
        <v>2</v>
      </c>
      <c r="I26" s="357">
        <v>15</v>
      </c>
      <c r="J26" s="359" t="s">
        <v>51</v>
      </c>
      <c r="K26" s="357">
        <v>7</v>
      </c>
    </row>
    <row r="27" spans="1:11" s="55" customFormat="1" ht="15" customHeight="1">
      <c r="A27" s="125"/>
      <c r="B27" s="62"/>
      <c r="C27" s="91"/>
      <c r="D27" s="325">
        <v>2017</v>
      </c>
      <c r="E27" s="357">
        <f>SUM(F27:K27)</f>
        <v>43</v>
      </c>
      <c r="F27" s="358">
        <f>10+4</f>
        <v>14</v>
      </c>
      <c r="G27" s="359" t="s">
        <v>51</v>
      </c>
      <c r="H27" s="357">
        <v>3</v>
      </c>
      <c r="I27" s="357">
        <v>22</v>
      </c>
      <c r="J27" s="359" t="s">
        <v>51</v>
      </c>
      <c r="K27" s="357">
        <f>1+3</f>
        <v>4</v>
      </c>
    </row>
    <row r="28" spans="1:11" s="55" customFormat="1" ht="8.1" customHeight="1">
      <c r="A28" s="125"/>
      <c r="B28" s="62"/>
      <c r="C28" s="91"/>
      <c r="D28" s="325"/>
      <c r="E28" s="357"/>
      <c r="F28" s="358"/>
      <c r="G28" s="357"/>
      <c r="H28" s="357"/>
      <c r="I28" s="357"/>
      <c r="J28" s="357"/>
      <c r="K28" s="357"/>
    </row>
    <row r="29" spans="1:11" s="55" customFormat="1" ht="15" customHeight="1">
      <c r="B29" s="62" t="s">
        <v>12</v>
      </c>
      <c r="C29" s="91"/>
      <c r="D29" s="325">
        <v>2015</v>
      </c>
      <c r="E29" s="357">
        <f t="shared" ref="E29:E30" si="4">SUM(F29:K29)</f>
        <v>1915</v>
      </c>
      <c r="F29" s="358">
        <v>329</v>
      </c>
      <c r="G29" s="357">
        <v>60</v>
      </c>
      <c r="H29" s="357">
        <v>468</v>
      </c>
      <c r="I29" s="357">
        <v>923</v>
      </c>
      <c r="J29" s="357">
        <v>11</v>
      </c>
      <c r="K29" s="357">
        <v>124</v>
      </c>
    </row>
    <row r="30" spans="1:11" s="55" customFormat="1" ht="15" customHeight="1">
      <c r="B30" s="62"/>
      <c r="C30" s="91"/>
      <c r="D30" s="325">
        <v>2016</v>
      </c>
      <c r="E30" s="357">
        <f t="shared" si="4"/>
        <v>1734</v>
      </c>
      <c r="F30" s="358">
        <v>206</v>
      </c>
      <c r="G30" s="357">
        <v>62</v>
      </c>
      <c r="H30" s="357">
        <v>396</v>
      </c>
      <c r="I30" s="357">
        <v>928</v>
      </c>
      <c r="J30" s="357">
        <v>5</v>
      </c>
      <c r="K30" s="357">
        <v>137</v>
      </c>
    </row>
    <row r="31" spans="1:11" s="55" customFormat="1" ht="15" customHeight="1">
      <c r="A31" s="125"/>
      <c r="B31" s="62"/>
      <c r="C31" s="91"/>
      <c r="D31" s="325">
        <v>2017</v>
      </c>
      <c r="E31" s="357">
        <f>SUM(F31:K31)</f>
        <v>1812</v>
      </c>
      <c r="F31" s="358">
        <f>131+27</f>
        <v>158</v>
      </c>
      <c r="G31" s="357">
        <f>1+65</f>
        <v>66</v>
      </c>
      <c r="H31" s="357">
        <v>434</v>
      </c>
      <c r="I31" s="357">
        <v>1013</v>
      </c>
      <c r="J31" s="359" t="s">
        <v>51</v>
      </c>
      <c r="K31" s="357">
        <f>19+13+76+1+32</f>
        <v>141</v>
      </c>
    </row>
    <row r="32" spans="1:11" s="55" customFormat="1" ht="8.1" customHeight="1">
      <c r="A32" s="125"/>
      <c r="B32" s="62"/>
      <c r="C32" s="91"/>
      <c r="D32" s="325"/>
      <c r="E32" s="357"/>
      <c r="F32" s="358"/>
      <c r="G32" s="357"/>
      <c r="H32" s="357"/>
      <c r="I32" s="357"/>
      <c r="J32" s="357"/>
      <c r="K32" s="357"/>
    </row>
    <row r="33" spans="1:14" s="55" customFormat="1" ht="15" customHeight="1">
      <c r="B33" s="62" t="s">
        <v>19</v>
      </c>
      <c r="C33" s="91"/>
      <c r="D33" s="325">
        <v>2015</v>
      </c>
      <c r="E33" s="357">
        <f t="shared" ref="E33:E34" si="5">SUM(F33:K33)</f>
        <v>235</v>
      </c>
      <c r="F33" s="358">
        <v>52</v>
      </c>
      <c r="G33" s="357">
        <v>4</v>
      </c>
      <c r="H33" s="357">
        <v>9</v>
      </c>
      <c r="I33" s="357">
        <v>114</v>
      </c>
      <c r="J33" s="357">
        <v>5</v>
      </c>
      <c r="K33" s="357">
        <v>51</v>
      </c>
    </row>
    <row r="34" spans="1:14" s="55" customFormat="1" ht="15" customHeight="1">
      <c r="B34" s="62"/>
      <c r="C34" s="91"/>
      <c r="D34" s="325">
        <v>2016</v>
      </c>
      <c r="E34" s="357">
        <f t="shared" si="5"/>
        <v>209</v>
      </c>
      <c r="F34" s="358">
        <v>31</v>
      </c>
      <c r="G34" s="357">
        <v>2</v>
      </c>
      <c r="H34" s="357">
        <v>23</v>
      </c>
      <c r="I34" s="357">
        <v>89</v>
      </c>
      <c r="J34" s="359" t="s">
        <v>51</v>
      </c>
      <c r="K34" s="357">
        <v>64</v>
      </c>
    </row>
    <row r="35" spans="1:14" s="55" customFormat="1" ht="15" customHeight="1">
      <c r="A35" s="125"/>
      <c r="B35" s="62"/>
      <c r="C35" s="91"/>
      <c r="D35" s="325">
        <v>2017</v>
      </c>
      <c r="E35" s="357">
        <f>SUM(F35:K35)</f>
        <v>210</v>
      </c>
      <c r="F35" s="358">
        <f>27+6</f>
        <v>33</v>
      </c>
      <c r="G35" s="357">
        <v>2</v>
      </c>
      <c r="H35" s="357">
        <v>36</v>
      </c>
      <c r="I35" s="357">
        <v>75</v>
      </c>
      <c r="J35" s="359" t="s">
        <v>51</v>
      </c>
      <c r="K35" s="357">
        <f>4+10+20+30</f>
        <v>64</v>
      </c>
    </row>
    <row r="36" spans="1:14" s="55" customFormat="1" ht="8.1" customHeight="1">
      <c r="A36" s="125"/>
      <c r="B36" s="62"/>
      <c r="C36" s="91"/>
      <c r="D36" s="325"/>
      <c r="E36" s="357"/>
      <c r="F36" s="358"/>
      <c r="G36" s="357"/>
      <c r="H36" s="357"/>
      <c r="I36" s="357"/>
      <c r="J36" s="357"/>
      <c r="K36" s="357"/>
    </row>
    <row r="37" spans="1:14" s="55" customFormat="1" ht="15" customHeight="1">
      <c r="B37" s="62" t="s">
        <v>13</v>
      </c>
      <c r="C37" s="91"/>
      <c r="D37" s="325">
        <v>2015</v>
      </c>
      <c r="E37" s="357">
        <f t="shared" ref="E37:E38" si="6">SUM(F37:K37)</f>
        <v>201</v>
      </c>
      <c r="F37" s="358">
        <v>22</v>
      </c>
      <c r="G37" s="357">
        <v>3</v>
      </c>
      <c r="H37" s="357">
        <v>36</v>
      </c>
      <c r="I37" s="357">
        <v>115</v>
      </c>
      <c r="J37" s="357">
        <v>4</v>
      </c>
      <c r="K37" s="357">
        <v>21</v>
      </c>
    </row>
    <row r="38" spans="1:14" s="55" customFormat="1" ht="15" customHeight="1">
      <c r="B38" s="62"/>
      <c r="C38" s="91"/>
      <c r="D38" s="325">
        <v>2016</v>
      </c>
      <c r="E38" s="357">
        <f t="shared" si="6"/>
        <v>211</v>
      </c>
      <c r="F38" s="358">
        <v>35</v>
      </c>
      <c r="G38" s="357">
        <v>1</v>
      </c>
      <c r="H38" s="357">
        <v>27</v>
      </c>
      <c r="I38" s="357">
        <v>104</v>
      </c>
      <c r="J38" s="357">
        <v>12</v>
      </c>
      <c r="K38" s="357">
        <v>32</v>
      </c>
    </row>
    <row r="39" spans="1:14" s="124" customFormat="1" ht="15" customHeight="1">
      <c r="A39" s="125"/>
      <c r="B39" s="62"/>
      <c r="C39" s="91"/>
      <c r="D39" s="325">
        <v>2017</v>
      </c>
      <c r="E39" s="357">
        <f>SUM(F39:K39)</f>
        <v>177</v>
      </c>
      <c r="F39" s="358">
        <f>30+5</f>
        <v>35</v>
      </c>
      <c r="G39" s="357">
        <v>2</v>
      </c>
      <c r="H39" s="357">
        <v>34</v>
      </c>
      <c r="I39" s="357">
        <v>71</v>
      </c>
      <c r="J39" s="359" t="s">
        <v>51</v>
      </c>
      <c r="K39" s="357">
        <f>3+1+7+1+23</f>
        <v>35</v>
      </c>
      <c r="L39" s="55"/>
      <c r="M39" s="55"/>
      <c r="N39" s="55"/>
    </row>
    <row r="40" spans="1:14" s="124" customFormat="1" ht="8.1" customHeight="1">
      <c r="A40" s="125"/>
      <c r="B40" s="62"/>
      <c r="C40" s="91"/>
      <c r="D40" s="325"/>
      <c r="E40" s="357"/>
      <c r="F40" s="358"/>
      <c r="G40" s="357"/>
      <c r="H40" s="357"/>
      <c r="I40" s="357"/>
      <c r="J40" s="357"/>
      <c r="K40" s="357"/>
      <c r="L40" s="55"/>
      <c r="M40" s="55"/>
      <c r="N40" s="55"/>
    </row>
    <row r="41" spans="1:14" s="55" customFormat="1" ht="15" customHeight="1">
      <c r="B41" s="62" t="s">
        <v>14</v>
      </c>
      <c r="C41" s="91"/>
      <c r="D41" s="325">
        <v>2015</v>
      </c>
      <c r="E41" s="357">
        <f t="shared" ref="E41:E42" si="7">SUM(F41:K41)</f>
        <v>483</v>
      </c>
      <c r="F41" s="358">
        <v>137</v>
      </c>
      <c r="G41" s="357">
        <v>4</v>
      </c>
      <c r="H41" s="357">
        <v>46</v>
      </c>
      <c r="I41" s="357">
        <v>246</v>
      </c>
      <c r="J41" s="357">
        <v>9</v>
      </c>
      <c r="K41" s="357">
        <v>41</v>
      </c>
    </row>
    <row r="42" spans="1:14" s="55" customFormat="1" ht="15" customHeight="1">
      <c r="B42" s="62"/>
      <c r="C42" s="91"/>
      <c r="D42" s="325">
        <v>2016</v>
      </c>
      <c r="E42" s="357">
        <f t="shared" si="7"/>
        <v>446</v>
      </c>
      <c r="F42" s="358">
        <v>106</v>
      </c>
      <c r="G42" s="357">
        <v>3</v>
      </c>
      <c r="H42" s="357">
        <v>23</v>
      </c>
      <c r="I42" s="357">
        <v>158</v>
      </c>
      <c r="J42" s="357">
        <v>22</v>
      </c>
      <c r="K42" s="357">
        <v>134</v>
      </c>
    </row>
    <row r="43" spans="1:14" s="55" customFormat="1" ht="15" customHeight="1">
      <c r="A43" s="125"/>
      <c r="B43" s="62"/>
      <c r="C43" s="91"/>
      <c r="D43" s="325">
        <v>2017</v>
      </c>
      <c r="E43" s="357">
        <f>SUM(F43:K43)</f>
        <v>426</v>
      </c>
      <c r="F43" s="358">
        <f>71+25</f>
        <v>96</v>
      </c>
      <c r="G43" s="357">
        <v>8</v>
      </c>
      <c r="H43" s="357">
        <v>50</v>
      </c>
      <c r="I43" s="357">
        <v>173</v>
      </c>
      <c r="J43" s="359" t="s">
        <v>51</v>
      </c>
      <c r="K43" s="357">
        <v>99</v>
      </c>
    </row>
    <row r="44" spans="1:14" s="55" customFormat="1" ht="8.1" customHeight="1">
      <c r="A44" s="125"/>
      <c r="B44" s="62"/>
      <c r="C44" s="91"/>
      <c r="D44" s="325"/>
      <c r="E44" s="357"/>
      <c r="F44" s="358"/>
      <c r="G44" s="357"/>
      <c r="H44" s="357"/>
      <c r="I44" s="357"/>
      <c r="J44" s="357"/>
      <c r="K44" s="357"/>
    </row>
    <row r="45" spans="1:14" s="55" customFormat="1" ht="15" customHeight="1">
      <c r="B45" s="62" t="s">
        <v>15</v>
      </c>
      <c r="C45" s="91"/>
      <c r="D45" s="325">
        <v>2015</v>
      </c>
      <c r="E45" s="357">
        <f t="shared" ref="E45:E46" si="8">SUM(F45:K45)</f>
        <v>359</v>
      </c>
      <c r="F45" s="358">
        <v>82</v>
      </c>
      <c r="G45" s="357">
        <v>5</v>
      </c>
      <c r="H45" s="357">
        <v>42</v>
      </c>
      <c r="I45" s="357">
        <v>175</v>
      </c>
      <c r="J45" s="357">
        <v>6</v>
      </c>
      <c r="K45" s="357">
        <v>49</v>
      </c>
    </row>
    <row r="46" spans="1:14" s="55" customFormat="1" ht="15" customHeight="1">
      <c r="B46" s="62"/>
      <c r="C46" s="91"/>
      <c r="D46" s="325">
        <v>2016</v>
      </c>
      <c r="E46" s="357">
        <f t="shared" si="8"/>
        <v>340</v>
      </c>
      <c r="F46" s="361">
        <v>100</v>
      </c>
      <c r="G46" s="357">
        <v>4</v>
      </c>
      <c r="H46" s="357">
        <v>30</v>
      </c>
      <c r="I46" s="357">
        <v>138</v>
      </c>
      <c r="J46" s="357">
        <v>9</v>
      </c>
      <c r="K46" s="357">
        <v>59</v>
      </c>
    </row>
    <row r="47" spans="1:14" s="55" customFormat="1" ht="15" customHeight="1">
      <c r="A47" s="125"/>
      <c r="B47" s="62"/>
      <c r="C47" s="91"/>
      <c r="D47" s="325">
        <v>2017</v>
      </c>
      <c r="E47" s="357">
        <f>SUM(F47:K47)</f>
        <v>337</v>
      </c>
      <c r="F47" s="358">
        <f>64+8</f>
        <v>72</v>
      </c>
      <c r="G47" s="357">
        <f>4+3</f>
        <v>7</v>
      </c>
      <c r="H47" s="357">
        <v>54</v>
      </c>
      <c r="I47" s="357">
        <v>150</v>
      </c>
      <c r="J47" s="359" t="s">
        <v>51</v>
      </c>
      <c r="K47" s="357">
        <f>4+3+12+1+34</f>
        <v>54</v>
      </c>
    </row>
    <row r="48" spans="1:14" s="55" customFormat="1" ht="8.1" customHeight="1">
      <c r="A48" s="125"/>
      <c r="B48" s="62"/>
      <c r="C48" s="91"/>
      <c r="D48" s="325"/>
      <c r="E48" s="357"/>
      <c r="F48" s="358"/>
      <c r="G48" s="357"/>
      <c r="H48" s="357"/>
      <c r="I48" s="357"/>
      <c r="J48" s="357"/>
      <c r="K48" s="357"/>
    </row>
    <row r="49" spans="1:12" s="55" customFormat="1" ht="15" customHeight="1">
      <c r="B49" s="62" t="s">
        <v>16</v>
      </c>
      <c r="C49" s="91"/>
      <c r="D49" s="325">
        <v>2015</v>
      </c>
      <c r="E49" s="357">
        <f t="shared" ref="E49:E50" si="9">SUM(F49:K49)</f>
        <v>268</v>
      </c>
      <c r="F49" s="358">
        <v>54</v>
      </c>
      <c r="G49" s="357">
        <v>2</v>
      </c>
      <c r="H49" s="357">
        <v>39</v>
      </c>
      <c r="I49" s="357">
        <v>143</v>
      </c>
      <c r="J49" s="357">
        <v>5</v>
      </c>
      <c r="K49" s="357">
        <v>25</v>
      </c>
    </row>
    <row r="50" spans="1:12" s="55" customFormat="1" ht="15" customHeight="1">
      <c r="B50" s="62"/>
      <c r="C50" s="91"/>
      <c r="D50" s="325">
        <v>2016</v>
      </c>
      <c r="E50" s="357">
        <f t="shared" si="9"/>
        <v>236</v>
      </c>
      <c r="F50" s="358">
        <v>40</v>
      </c>
      <c r="G50" s="357">
        <v>5</v>
      </c>
      <c r="H50" s="357">
        <v>32</v>
      </c>
      <c r="I50" s="357">
        <v>130</v>
      </c>
      <c r="J50" s="357">
        <v>5</v>
      </c>
      <c r="K50" s="357">
        <v>24</v>
      </c>
    </row>
    <row r="51" spans="1:12" s="55" customFormat="1" ht="15" customHeight="1">
      <c r="A51" s="125"/>
      <c r="B51" s="62"/>
      <c r="C51" s="91"/>
      <c r="D51" s="325">
        <v>2017</v>
      </c>
      <c r="E51" s="357">
        <f>SUM(F51:K51)</f>
        <v>209</v>
      </c>
      <c r="F51" s="358">
        <f>22+4</f>
        <v>26</v>
      </c>
      <c r="G51" s="357">
        <v>3</v>
      </c>
      <c r="H51" s="357">
        <v>40</v>
      </c>
      <c r="I51" s="357">
        <v>124</v>
      </c>
      <c r="J51" s="359" t="s">
        <v>51</v>
      </c>
      <c r="K51" s="357">
        <f>1+4+1+10</f>
        <v>16</v>
      </c>
    </row>
    <row r="52" spans="1:12" s="55" customFormat="1" ht="8.1" customHeight="1">
      <c r="A52" s="125"/>
      <c r="B52" s="62"/>
      <c r="C52" s="91"/>
      <c r="D52" s="325"/>
      <c r="E52" s="357"/>
      <c r="F52" s="358"/>
      <c r="G52" s="357"/>
      <c r="H52" s="357"/>
      <c r="I52" s="357"/>
      <c r="J52" s="357"/>
      <c r="K52" s="357"/>
    </row>
    <row r="53" spans="1:12" s="125" customFormat="1" ht="15" customHeight="1">
      <c r="A53" s="55"/>
      <c r="B53" s="62" t="s">
        <v>17</v>
      </c>
      <c r="C53" s="91"/>
      <c r="D53" s="325">
        <v>2015</v>
      </c>
      <c r="E53" s="357">
        <f t="shared" ref="E53:E54" si="10">SUM(F53:K53)</f>
        <v>324</v>
      </c>
      <c r="F53" s="358">
        <v>42</v>
      </c>
      <c r="G53" s="359" t="s">
        <v>51</v>
      </c>
      <c r="H53" s="357">
        <v>18</v>
      </c>
      <c r="I53" s="357">
        <v>197</v>
      </c>
      <c r="J53" s="357">
        <v>13</v>
      </c>
      <c r="K53" s="357">
        <v>54</v>
      </c>
    </row>
    <row r="54" spans="1:12" s="125" customFormat="1" ht="15" customHeight="1">
      <c r="A54" s="55"/>
      <c r="B54" s="62"/>
      <c r="C54" s="91"/>
      <c r="D54" s="325">
        <v>2016</v>
      </c>
      <c r="E54" s="357">
        <f t="shared" si="10"/>
        <v>309</v>
      </c>
      <c r="F54" s="358">
        <v>45</v>
      </c>
      <c r="G54" s="357">
        <v>3</v>
      </c>
      <c r="H54" s="357">
        <v>28</v>
      </c>
      <c r="I54" s="357">
        <v>186</v>
      </c>
      <c r="J54" s="357">
        <v>3</v>
      </c>
      <c r="K54" s="357">
        <v>44</v>
      </c>
    </row>
    <row r="55" spans="1:12" s="125" customFormat="1" ht="15" customHeight="1">
      <c r="B55" s="62"/>
      <c r="C55" s="91"/>
      <c r="D55" s="325">
        <v>2017</v>
      </c>
      <c r="E55" s="357">
        <f>SUM(F55:K55)</f>
        <v>289</v>
      </c>
      <c r="F55" s="358">
        <f>31+12</f>
        <v>43</v>
      </c>
      <c r="G55" s="360">
        <v>3</v>
      </c>
      <c r="H55" s="360">
        <v>26</v>
      </c>
      <c r="I55" s="357">
        <v>153</v>
      </c>
      <c r="J55" s="362" t="s">
        <v>51</v>
      </c>
      <c r="K55" s="360">
        <v>64</v>
      </c>
    </row>
    <row r="56" spans="1:12" s="125" customFormat="1" ht="8.1" customHeight="1" thickBot="1">
      <c r="A56" s="283"/>
      <c r="B56" s="64"/>
      <c r="C56" s="363"/>
      <c r="D56" s="364"/>
      <c r="E56" s="365"/>
      <c r="F56" s="366"/>
      <c r="G56" s="367"/>
      <c r="H56" s="367"/>
      <c r="I56" s="365"/>
      <c r="J56" s="368"/>
      <c r="K56" s="367"/>
      <c r="L56" s="283"/>
    </row>
    <row r="57" spans="1:12">
      <c r="B57" s="346"/>
      <c r="C57" s="346"/>
      <c r="D57" s="346"/>
      <c r="E57" s="245"/>
      <c r="F57" s="246"/>
      <c r="G57" s="7"/>
      <c r="H57" s="7"/>
      <c r="I57" s="348"/>
      <c r="J57" s="247"/>
      <c r="K57" s="8" t="s">
        <v>104</v>
      </c>
    </row>
    <row r="58" spans="1:12">
      <c r="B58" s="7"/>
      <c r="C58" s="7"/>
      <c r="D58" s="7"/>
      <c r="E58" s="349"/>
      <c r="F58" s="347"/>
      <c r="G58" s="346"/>
      <c r="H58" s="346"/>
      <c r="I58" s="347"/>
      <c r="J58" s="246"/>
      <c r="K58" s="41" t="s">
        <v>1</v>
      </c>
    </row>
  </sheetData>
  <mergeCells count="6">
    <mergeCell ref="B10:C11"/>
    <mergeCell ref="E10:E11"/>
    <mergeCell ref="F10:F11"/>
    <mergeCell ref="G10:I10"/>
    <mergeCell ref="J10:J11"/>
    <mergeCell ref="K10:K11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5" fitToWidth="0" orientation="portrait" r:id="rId1"/>
  <headerFooter>
    <oddHeader xml:space="preserve">&amp;R&amp;"-,Bold"
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L67"/>
  <sheetViews>
    <sheetView showGridLines="0" topLeftCell="A27" zoomScaleNormal="100" zoomScaleSheetLayoutView="100" workbookViewId="0">
      <selection activeCell="AF36" sqref="AF36"/>
    </sheetView>
  </sheetViews>
  <sheetFormatPr defaultRowHeight="15"/>
  <cols>
    <col min="1" max="1" width="0.85546875" style="2" customWidth="1"/>
    <col min="2" max="2" width="9.85546875" style="3" customWidth="1"/>
    <col min="3" max="3" width="8.42578125" style="3" customWidth="1"/>
    <col min="4" max="4" width="10.42578125" style="3" customWidth="1"/>
    <col min="5" max="5" width="11.7109375" style="4" customWidth="1"/>
    <col min="6" max="6" width="11.7109375" style="5" customWidth="1"/>
    <col min="7" max="7" width="10.5703125" style="5" customWidth="1"/>
    <col min="8" max="8" width="10.5703125" style="261" customWidth="1"/>
    <col min="9" max="9" width="11.28515625" style="5" customWidth="1"/>
    <col min="10" max="10" width="11" style="2" customWidth="1"/>
    <col min="11" max="11" width="10.42578125" style="2" customWidth="1"/>
    <col min="12" max="12" width="1.42578125" style="2" customWidth="1"/>
    <col min="13" max="16384" width="9.140625" style="2"/>
  </cols>
  <sheetData>
    <row r="1" spans="1:12" s="30" customFormat="1" ht="12.95" customHeight="1">
      <c r="B1" s="27"/>
      <c r="C1" s="27"/>
      <c r="D1" s="29"/>
      <c r="E1" s="28"/>
      <c r="F1" s="29"/>
      <c r="J1" s="29"/>
      <c r="K1" s="199" t="s">
        <v>188</v>
      </c>
    </row>
    <row r="2" spans="1:12" s="30" customFormat="1" ht="12.95" customHeight="1">
      <c r="B2" s="27"/>
      <c r="C2" s="27"/>
      <c r="D2" s="29"/>
      <c r="E2" s="28"/>
      <c r="F2" s="29"/>
      <c r="J2" s="29"/>
      <c r="K2" s="75" t="s">
        <v>189</v>
      </c>
    </row>
    <row r="3" spans="1:12" s="30" customFormat="1" ht="12" customHeight="1">
      <c r="B3" s="27"/>
      <c r="C3" s="27"/>
      <c r="D3" s="29"/>
      <c r="E3" s="28"/>
      <c r="F3" s="29"/>
      <c r="G3" s="75"/>
      <c r="J3" s="29"/>
    </row>
    <row r="4" spans="1:12" s="30" customFormat="1" ht="12" customHeight="1">
      <c r="B4" s="27"/>
      <c r="C4" s="27"/>
      <c r="D4" s="29"/>
      <c r="E4" s="28"/>
      <c r="F4" s="29"/>
      <c r="G4" s="75"/>
      <c r="J4" s="29"/>
    </row>
    <row r="5" spans="1:12" s="55" customFormat="1" ht="9.9499999999999993" customHeight="1">
      <c r="B5" s="124"/>
      <c r="C5" s="124"/>
      <c r="D5" s="265"/>
      <c r="E5" s="266"/>
      <c r="F5" s="265"/>
      <c r="G5" s="265"/>
      <c r="H5" s="267"/>
      <c r="I5" s="265"/>
      <c r="J5" s="123"/>
    </row>
    <row r="6" spans="1:12" s="55" customFormat="1" ht="15" customHeight="1">
      <c r="B6" s="70" t="s">
        <v>234</v>
      </c>
      <c r="C6" s="71" t="s">
        <v>241</v>
      </c>
      <c r="D6" s="265"/>
      <c r="E6" s="266"/>
      <c r="F6" s="71"/>
      <c r="G6" s="71"/>
      <c r="H6" s="71"/>
      <c r="I6" s="71"/>
      <c r="J6" s="88"/>
      <c r="K6" s="71"/>
      <c r="L6" s="241"/>
    </row>
    <row r="7" spans="1:12" s="55" customFormat="1" ht="18" customHeight="1">
      <c r="B7" s="89" t="s">
        <v>236</v>
      </c>
      <c r="C7" s="95" t="s">
        <v>242</v>
      </c>
      <c r="D7" s="265"/>
      <c r="E7" s="266"/>
      <c r="F7" s="95"/>
      <c r="G7" s="95"/>
      <c r="H7" s="95"/>
      <c r="I7" s="95"/>
      <c r="J7" s="339"/>
      <c r="K7" s="95"/>
      <c r="L7" s="243"/>
    </row>
    <row r="8" spans="1:12" s="55" customFormat="1" ht="8.1" customHeight="1" thickBot="1">
      <c r="B8" s="282"/>
      <c r="C8" s="282"/>
      <c r="D8" s="311"/>
      <c r="E8" s="310"/>
      <c r="F8" s="311"/>
      <c r="G8" s="311"/>
      <c r="H8" s="312"/>
      <c r="I8" s="311"/>
      <c r="J8" s="172"/>
      <c r="K8" s="125"/>
    </row>
    <row r="9" spans="1:12" s="55" customFormat="1" ht="8.1" customHeight="1" thickTop="1">
      <c r="A9" s="268"/>
      <c r="B9" s="270"/>
      <c r="C9" s="270"/>
      <c r="D9" s="273"/>
      <c r="E9" s="313"/>
      <c r="F9" s="273"/>
      <c r="G9" s="273"/>
      <c r="H9" s="314"/>
      <c r="I9" s="273"/>
      <c r="J9" s="272"/>
      <c r="K9" s="268"/>
      <c r="L9" s="268"/>
    </row>
    <row r="10" spans="1:12" s="55" customFormat="1" ht="30.75" customHeight="1">
      <c r="A10" s="249"/>
      <c r="B10" s="315" t="s">
        <v>238</v>
      </c>
      <c r="C10" s="315"/>
      <c r="D10" s="350" t="s">
        <v>100</v>
      </c>
      <c r="E10" s="259" t="s">
        <v>95</v>
      </c>
      <c r="F10" s="259" t="s">
        <v>239</v>
      </c>
      <c r="G10" s="255" t="s">
        <v>218</v>
      </c>
      <c r="H10" s="255"/>
      <c r="I10" s="255"/>
      <c r="J10" s="256" t="s">
        <v>219</v>
      </c>
      <c r="K10" s="259" t="s">
        <v>220</v>
      </c>
      <c r="L10" s="249"/>
    </row>
    <row r="11" spans="1:12" s="111" customFormat="1" ht="55.5" customHeight="1">
      <c r="A11" s="257"/>
      <c r="B11" s="317"/>
      <c r="C11" s="317"/>
      <c r="D11" s="340"/>
      <c r="E11" s="318"/>
      <c r="F11" s="318"/>
      <c r="G11" s="319" t="s">
        <v>221</v>
      </c>
      <c r="H11" s="319" t="s">
        <v>222</v>
      </c>
      <c r="I11" s="319" t="s">
        <v>240</v>
      </c>
      <c r="J11" s="260"/>
      <c r="K11" s="318"/>
      <c r="L11" s="257"/>
    </row>
    <row r="12" spans="1:12" s="111" customFormat="1" ht="8.1" customHeight="1">
      <c r="A12" s="369"/>
      <c r="B12" s="341"/>
      <c r="C12" s="341"/>
      <c r="D12" s="178"/>
      <c r="E12" s="99"/>
      <c r="F12" s="320"/>
      <c r="G12" s="99"/>
      <c r="H12" s="99"/>
      <c r="I12" s="99"/>
      <c r="J12" s="320"/>
      <c r="K12" s="99"/>
      <c r="L12" s="115"/>
    </row>
    <row r="13" spans="1:12" s="115" customFormat="1" ht="14.1" customHeight="1">
      <c r="B13" s="68" t="s">
        <v>197</v>
      </c>
      <c r="C13" s="133"/>
      <c r="D13" s="69">
        <v>2015</v>
      </c>
      <c r="E13" s="174">
        <f>SUM(F13:K13)</f>
        <v>2362</v>
      </c>
      <c r="F13" s="233">
        <v>445</v>
      </c>
      <c r="G13" s="233">
        <v>26</v>
      </c>
      <c r="H13" s="233">
        <v>167</v>
      </c>
      <c r="I13" s="233">
        <v>1304</v>
      </c>
      <c r="J13" s="233">
        <v>2</v>
      </c>
      <c r="K13" s="233">
        <v>418</v>
      </c>
    </row>
    <row r="14" spans="1:12" s="115" customFormat="1" ht="14.1" customHeight="1">
      <c r="B14" s="133"/>
      <c r="C14" s="133"/>
      <c r="D14" s="69">
        <v>2016</v>
      </c>
      <c r="E14" s="174">
        <f t="shared" ref="E14:E15" si="0">SUM(F14:K14)</f>
        <v>2510</v>
      </c>
      <c r="F14" s="233">
        <v>544</v>
      </c>
      <c r="G14" s="233">
        <v>25</v>
      </c>
      <c r="H14" s="233">
        <v>170</v>
      </c>
      <c r="I14" s="233">
        <v>1246</v>
      </c>
      <c r="J14" s="233">
        <v>6</v>
      </c>
      <c r="K14" s="233">
        <v>519</v>
      </c>
    </row>
    <row r="15" spans="1:12" s="115" customFormat="1" ht="14.1" customHeight="1">
      <c r="B15" s="133"/>
      <c r="C15" s="133"/>
      <c r="D15" s="69">
        <v>2017</v>
      </c>
      <c r="E15" s="174">
        <f t="shared" si="0"/>
        <v>2255</v>
      </c>
      <c r="F15" s="233">
        <v>567</v>
      </c>
      <c r="G15" s="233">
        <v>27</v>
      </c>
      <c r="H15" s="233">
        <v>112</v>
      </c>
      <c r="I15" s="233">
        <v>1101</v>
      </c>
      <c r="J15" s="233">
        <v>2</v>
      </c>
      <c r="K15" s="233">
        <v>446</v>
      </c>
    </row>
    <row r="16" spans="1:12" s="125" customFormat="1" ht="8.1" customHeight="1">
      <c r="B16" s="133"/>
      <c r="C16" s="133"/>
      <c r="D16" s="69"/>
      <c r="E16" s="174"/>
      <c r="F16" s="233"/>
      <c r="G16" s="233"/>
      <c r="H16" s="233"/>
      <c r="I16" s="233"/>
      <c r="J16" s="233"/>
      <c r="K16" s="233"/>
    </row>
    <row r="17" spans="1:11" s="125" customFormat="1" ht="14.1" customHeight="1">
      <c r="A17" s="55"/>
      <c r="B17" s="62" t="s">
        <v>21</v>
      </c>
      <c r="C17" s="91"/>
      <c r="D17" s="170">
        <v>2015</v>
      </c>
      <c r="E17" s="175">
        <f t="shared" ref="E17:E19" si="1">SUM(F17:K17)</f>
        <v>281</v>
      </c>
      <c r="F17" s="237">
        <v>57</v>
      </c>
      <c r="G17" s="237">
        <v>3</v>
      </c>
      <c r="H17" s="237">
        <v>17</v>
      </c>
      <c r="I17" s="237">
        <v>170</v>
      </c>
      <c r="J17" s="237">
        <v>1</v>
      </c>
      <c r="K17" s="237">
        <v>33</v>
      </c>
    </row>
    <row r="18" spans="1:11" s="125" customFormat="1" ht="14.1" customHeight="1">
      <c r="A18" s="55"/>
      <c r="B18" s="62"/>
      <c r="C18" s="91"/>
      <c r="D18" s="170">
        <v>2016</v>
      </c>
      <c r="E18" s="175">
        <f t="shared" si="1"/>
        <v>321</v>
      </c>
      <c r="F18" s="237">
        <v>44</v>
      </c>
      <c r="G18" s="237">
        <v>7</v>
      </c>
      <c r="H18" s="237">
        <v>12</v>
      </c>
      <c r="I18" s="237">
        <v>192</v>
      </c>
      <c r="J18" s="237">
        <v>1</v>
      </c>
      <c r="K18" s="237">
        <v>65</v>
      </c>
    </row>
    <row r="19" spans="1:11" s="125" customFormat="1" ht="14.1" customHeight="1">
      <c r="B19" s="370"/>
      <c r="C19" s="62"/>
      <c r="D19" s="170">
        <v>2017</v>
      </c>
      <c r="E19" s="175">
        <f t="shared" si="1"/>
        <v>296</v>
      </c>
      <c r="F19" s="237">
        <f>49+26</f>
        <v>75</v>
      </c>
      <c r="G19" s="237">
        <v>8</v>
      </c>
      <c r="H19" s="237">
        <v>12</v>
      </c>
      <c r="I19" s="237">
        <v>162</v>
      </c>
      <c r="J19" s="371" t="s">
        <v>51</v>
      </c>
      <c r="K19" s="237">
        <f>5+4+18+12</f>
        <v>39</v>
      </c>
    </row>
    <row r="20" spans="1:11" s="125" customFormat="1" ht="8.1" customHeight="1">
      <c r="B20" s="370"/>
      <c r="C20" s="62"/>
      <c r="D20" s="170"/>
      <c r="E20" s="175"/>
      <c r="F20" s="237"/>
      <c r="G20" s="237"/>
      <c r="H20" s="237"/>
      <c r="I20" s="237"/>
      <c r="J20" s="237"/>
      <c r="K20" s="237"/>
    </row>
    <row r="21" spans="1:11" s="125" customFormat="1" ht="14.1" customHeight="1">
      <c r="A21" s="55"/>
      <c r="B21" s="62" t="s">
        <v>22</v>
      </c>
      <c r="C21" s="91"/>
      <c r="D21" s="170">
        <v>2015</v>
      </c>
      <c r="E21" s="175">
        <f t="shared" ref="E21:E23" si="2">SUM(F21:K21)</f>
        <v>198</v>
      </c>
      <c r="F21" s="371">
        <v>42</v>
      </c>
      <c r="G21" s="371">
        <v>6</v>
      </c>
      <c r="H21" s="237">
        <v>11</v>
      </c>
      <c r="I21" s="371">
        <v>98</v>
      </c>
      <c r="J21" s="371" t="s">
        <v>51</v>
      </c>
      <c r="K21" s="237">
        <v>41</v>
      </c>
    </row>
    <row r="22" spans="1:11" s="125" customFormat="1" ht="14.1" customHeight="1">
      <c r="A22" s="55"/>
      <c r="B22" s="62"/>
      <c r="C22" s="91"/>
      <c r="D22" s="170">
        <v>2016</v>
      </c>
      <c r="E22" s="175">
        <f t="shared" si="2"/>
        <v>198</v>
      </c>
      <c r="F22" s="237">
        <v>52</v>
      </c>
      <c r="G22" s="237">
        <v>4</v>
      </c>
      <c r="H22" s="237">
        <v>9</v>
      </c>
      <c r="I22" s="237">
        <v>84</v>
      </c>
      <c r="J22" s="237">
        <v>2</v>
      </c>
      <c r="K22" s="237">
        <v>47</v>
      </c>
    </row>
    <row r="23" spans="1:11" s="125" customFormat="1" ht="14.1" customHeight="1">
      <c r="B23" s="370"/>
      <c r="C23" s="62"/>
      <c r="D23" s="170">
        <v>2017</v>
      </c>
      <c r="E23" s="175">
        <f t="shared" si="2"/>
        <v>191</v>
      </c>
      <c r="F23" s="371">
        <f>44+9</f>
        <v>53</v>
      </c>
      <c r="G23" s="371">
        <v>3</v>
      </c>
      <c r="H23" s="237">
        <v>3</v>
      </c>
      <c r="I23" s="371">
        <v>71</v>
      </c>
      <c r="J23" s="371" t="s">
        <v>51</v>
      </c>
      <c r="K23" s="237">
        <f>9+5+21+3+23</f>
        <v>61</v>
      </c>
    </row>
    <row r="24" spans="1:11" s="125" customFormat="1" ht="8.1" customHeight="1">
      <c r="B24" s="370"/>
      <c r="C24" s="62"/>
      <c r="D24" s="170"/>
      <c r="E24" s="175"/>
      <c r="F24" s="371"/>
      <c r="G24" s="371"/>
      <c r="H24" s="237"/>
      <c r="I24" s="371"/>
      <c r="J24" s="237"/>
      <c r="K24" s="237"/>
    </row>
    <row r="25" spans="1:11" s="125" customFormat="1" ht="14.1" customHeight="1">
      <c r="A25" s="55"/>
      <c r="B25" s="62" t="s">
        <v>23</v>
      </c>
      <c r="C25" s="91"/>
      <c r="D25" s="170">
        <v>2015</v>
      </c>
      <c r="E25" s="175">
        <f t="shared" ref="E25:E27" si="3">SUM(F25:K25)</f>
        <v>1883</v>
      </c>
      <c r="F25" s="237">
        <v>346</v>
      </c>
      <c r="G25" s="237">
        <v>17</v>
      </c>
      <c r="H25" s="237">
        <v>139</v>
      </c>
      <c r="I25" s="237">
        <v>1036</v>
      </c>
      <c r="J25" s="237">
        <v>1</v>
      </c>
      <c r="K25" s="237">
        <v>344</v>
      </c>
    </row>
    <row r="26" spans="1:11" s="125" customFormat="1" ht="14.1" customHeight="1">
      <c r="A26" s="55"/>
      <c r="B26" s="62"/>
      <c r="C26" s="91"/>
      <c r="D26" s="170">
        <v>2016</v>
      </c>
      <c r="E26" s="175">
        <f t="shared" si="3"/>
        <v>1991</v>
      </c>
      <c r="F26" s="237">
        <v>448</v>
      </c>
      <c r="G26" s="237">
        <v>14</v>
      </c>
      <c r="H26" s="237">
        <v>149</v>
      </c>
      <c r="I26" s="237">
        <v>970</v>
      </c>
      <c r="J26" s="237">
        <v>3</v>
      </c>
      <c r="K26" s="237">
        <v>407</v>
      </c>
    </row>
    <row r="27" spans="1:11" s="125" customFormat="1" ht="14.1" customHeight="1">
      <c r="B27" s="370"/>
      <c r="C27" s="62"/>
      <c r="D27" s="170">
        <v>2017</v>
      </c>
      <c r="E27" s="175">
        <f t="shared" si="3"/>
        <v>1768</v>
      </c>
      <c r="F27" s="237">
        <f>354+85</f>
        <v>439</v>
      </c>
      <c r="G27" s="237">
        <f>1+3+12</f>
        <v>16</v>
      </c>
      <c r="H27" s="237">
        <v>97</v>
      </c>
      <c r="I27" s="237">
        <v>868</v>
      </c>
      <c r="J27" s="237">
        <v>2</v>
      </c>
      <c r="K27" s="237">
        <f>3+59+33+146+5+99+1</f>
        <v>346</v>
      </c>
    </row>
    <row r="28" spans="1:11" s="125" customFormat="1" ht="8.1" customHeight="1" thickBot="1">
      <c r="A28" s="283"/>
      <c r="B28" s="372"/>
      <c r="C28" s="64"/>
      <c r="D28" s="149"/>
      <c r="E28" s="65"/>
      <c r="F28" s="264"/>
      <c r="G28" s="264"/>
      <c r="H28" s="264"/>
      <c r="I28" s="264"/>
      <c r="J28" s="264"/>
      <c r="K28" s="264"/>
    </row>
    <row r="29" spans="1:11" s="125" customFormat="1" ht="8.1" customHeight="1">
      <c r="B29" s="370"/>
      <c r="C29" s="62"/>
      <c r="D29" s="69"/>
      <c r="E29" s="175"/>
      <c r="F29" s="237"/>
      <c r="G29" s="237"/>
      <c r="H29" s="237"/>
      <c r="I29" s="237"/>
      <c r="J29" s="237"/>
      <c r="K29" s="237"/>
    </row>
    <row r="30" spans="1:11" s="111" customFormat="1" ht="14.1" customHeight="1">
      <c r="A30" s="115"/>
      <c r="B30" s="68" t="s">
        <v>31</v>
      </c>
      <c r="C30" s="68"/>
      <c r="D30" s="69">
        <v>2015</v>
      </c>
      <c r="E30" s="174">
        <f t="shared" ref="E30:E32" si="4">SUM(F30:K30)</f>
        <v>3508</v>
      </c>
      <c r="F30" s="233">
        <v>998</v>
      </c>
      <c r="G30" s="233">
        <v>73</v>
      </c>
      <c r="H30" s="233">
        <v>244</v>
      </c>
      <c r="I30" s="233">
        <v>1167</v>
      </c>
      <c r="J30" s="233">
        <v>18</v>
      </c>
      <c r="K30" s="233">
        <v>1008</v>
      </c>
    </row>
    <row r="31" spans="1:11" s="111" customFormat="1" ht="14.1" customHeight="1">
      <c r="A31" s="115"/>
      <c r="B31" s="133"/>
      <c r="C31" s="68"/>
      <c r="D31" s="69">
        <v>2016</v>
      </c>
      <c r="E31" s="174">
        <f t="shared" si="4"/>
        <v>3390</v>
      </c>
      <c r="F31" s="233">
        <v>1023</v>
      </c>
      <c r="G31" s="233">
        <v>116</v>
      </c>
      <c r="H31" s="233">
        <v>177</v>
      </c>
      <c r="I31" s="233">
        <v>1053</v>
      </c>
      <c r="J31" s="233">
        <v>6</v>
      </c>
      <c r="K31" s="233">
        <v>1015</v>
      </c>
    </row>
    <row r="32" spans="1:11" s="111" customFormat="1" ht="14.1" customHeight="1">
      <c r="A32" s="115"/>
      <c r="B32" s="133"/>
      <c r="C32" s="68"/>
      <c r="D32" s="69">
        <v>2017</v>
      </c>
      <c r="E32" s="174">
        <f t="shared" si="4"/>
        <v>3089</v>
      </c>
      <c r="F32" s="233">
        <v>895</v>
      </c>
      <c r="G32" s="233">
        <v>64</v>
      </c>
      <c r="H32" s="233">
        <v>170</v>
      </c>
      <c r="I32" s="233">
        <v>839</v>
      </c>
      <c r="J32" s="373" t="s">
        <v>51</v>
      </c>
      <c r="K32" s="233">
        <v>1121</v>
      </c>
    </row>
    <row r="33" spans="1:11" s="55" customFormat="1" ht="8.1" customHeight="1">
      <c r="A33" s="125"/>
      <c r="B33" s="133"/>
      <c r="C33" s="68"/>
      <c r="D33" s="69"/>
      <c r="E33" s="174"/>
      <c r="F33" s="233"/>
      <c r="G33" s="233"/>
      <c r="H33" s="233"/>
      <c r="I33" s="233"/>
      <c r="J33" s="373"/>
      <c r="K33" s="233"/>
    </row>
    <row r="34" spans="1:11" s="55" customFormat="1" ht="14.1" customHeight="1">
      <c r="B34" s="62" t="s">
        <v>24</v>
      </c>
      <c r="C34" s="91"/>
      <c r="D34" s="170">
        <v>2015</v>
      </c>
      <c r="E34" s="175">
        <f t="shared" ref="E34:E36" si="5">SUM(F34:K34)</f>
        <v>62</v>
      </c>
      <c r="F34" s="237">
        <v>7</v>
      </c>
      <c r="G34" s="371" t="s">
        <v>51</v>
      </c>
      <c r="H34" s="371" t="s">
        <v>51</v>
      </c>
      <c r="I34" s="237">
        <v>27</v>
      </c>
      <c r="J34" s="371" t="s">
        <v>51</v>
      </c>
      <c r="K34" s="237">
        <v>28</v>
      </c>
    </row>
    <row r="35" spans="1:11" s="55" customFormat="1" ht="14.1" customHeight="1">
      <c r="B35" s="62"/>
      <c r="C35" s="91"/>
      <c r="D35" s="170">
        <v>2016</v>
      </c>
      <c r="E35" s="175">
        <f t="shared" si="5"/>
        <v>67</v>
      </c>
      <c r="F35" s="237">
        <v>13</v>
      </c>
      <c r="G35" s="237">
        <v>1</v>
      </c>
      <c r="H35" s="371" t="s">
        <v>51</v>
      </c>
      <c r="I35" s="237">
        <v>29</v>
      </c>
      <c r="J35" s="371" t="s">
        <v>51</v>
      </c>
      <c r="K35" s="237">
        <v>24</v>
      </c>
    </row>
    <row r="36" spans="1:11" s="55" customFormat="1" ht="14.1" customHeight="1">
      <c r="A36" s="125"/>
      <c r="B36" s="370"/>
      <c r="C36" s="62"/>
      <c r="D36" s="170">
        <v>2017</v>
      </c>
      <c r="E36" s="175">
        <f t="shared" si="5"/>
        <v>56</v>
      </c>
      <c r="F36" s="237">
        <f>11+6</f>
        <v>17</v>
      </c>
      <c r="G36" s="237">
        <v>1</v>
      </c>
      <c r="H36" s="371" t="s">
        <v>51</v>
      </c>
      <c r="I36" s="237">
        <v>20</v>
      </c>
      <c r="J36" s="371" t="s">
        <v>51</v>
      </c>
      <c r="K36" s="237">
        <f>3+7+8</f>
        <v>18</v>
      </c>
    </row>
    <row r="37" spans="1:11" s="55" customFormat="1" ht="8.1" customHeight="1">
      <c r="A37" s="125"/>
      <c r="B37" s="370"/>
      <c r="C37" s="62"/>
      <c r="D37" s="170"/>
      <c r="E37" s="175"/>
      <c r="F37" s="237"/>
      <c r="G37" s="237"/>
      <c r="H37" s="237"/>
      <c r="I37" s="237"/>
      <c r="J37" s="237"/>
      <c r="K37" s="237"/>
    </row>
    <row r="38" spans="1:11" s="55" customFormat="1" ht="14.1" customHeight="1">
      <c r="B38" s="62" t="s">
        <v>30</v>
      </c>
      <c r="C38" s="91"/>
      <c r="D38" s="170">
        <v>2015</v>
      </c>
      <c r="E38" s="175">
        <f t="shared" ref="E38:E40" si="6">SUM(F38:K38)</f>
        <v>235</v>
      </c>
      <c r="F38" s="371">
        <v>43</v>
      </c>
      <c r="G38" s="371">
        <v>1</v>
      </c>
      <c r="H38" s="237">
        <v>11</v>
      </c>
      <c r="I38" s="371">
        <v>127</v>
      </c>
      <c r="J38" s="237">
        <v>1</v>
      </c>
      <c r="K38" s="237">
        <v>52</v>
      </c>
    </row>
    <row r="39" spans="1:11" s="55" customFormat="1" ht="14.1" customHeight="1">
      <c r="B39" s="62"/>
      <c r="C39" s="91"/>
      <c r="D39" s="170">
        <v>2016</v>
      </c>
      <c r="E39" s="175">
        <f t="shared" si="6"/>
        <v>211</v>
      </c>
      <c r="F39" s="237">
        <v>62</v>
      </c>
      <c r="G39" s="237">
        <v>6</v>
      </c>
      <c r="H39" s="237">
        <v>5</v>
      </c>
      <c r="I39" s="237">
        <v>94</v>
      </c>
      <c r="J39" s="237">
        <v>1</v>
      </c>
      <c r="K39" s="237">
        <v>43</v>
      </c>
    </row>
    <row r="40" spans="1:11" s="55" customFormat="1" ht="14.1" customHeight="1">
      <c r="A40" s="125"/>
      <c r="B40" s="370"/>
      <c r="C40" s="62"/>
      <c r="D40" s="170">
        <v>2017</v>
      </c>
      <c r="E40" s="175">
        <f t="shared" si="6"/>
        <v>176</v>
      </c>
      <c r="F40" s="371">
        <f>50+13</f>
        <v>63</v>
      </c>
      <c r="G40" s="371">
        <v>3</v>
      </c>
      <c r="H40" s="237">
        <v>6</v>
      </c>
      <c r="I40" s="371">
        <v>54</v>
      </c>
      <c r="J40" s="371" t="s">
        <v>51</v>
      </c>
      <c r="K40" s="237">
        <f>2+4+18+26</f>
        <v>50</v>
      </c>
    </row>
    <row r="41" spans="1:11" s="55" customFormat="1" ht="8.1" customHeight="1">
      <c r="A41" s="125"/>
      <c r="B41" s="370"/>
      <c r="C41" s="62"/>
      <c r="D41" s="170"/>
      <c r="E41" s="175"/>
      <c r="F41" s="371"/>
      <c r="G41" s="371"/>
      <c r="H41" s="237"/>
      <c r="I41" s="371"/>
      <c r="J41" s="237"/>
      <c r="K41" s="237"/>
    </row>
    <row r="42" spans="1:11" s="55" customFormat="1" ht="14.1" customHeight="1">
      <c r="B42" s="62" t="s">
        <v>25</v>
      </c>
      <c r="C42" s="91"/>
      <c r="D42" s="170">
        <v>2015</v>
      </c>
      <c r="E42" s="175">
        <f t="shared" ref="E42:E44" si="7">SUM(F42:K42)</f>
        <v>244</v>
      </c>
      <c r="F42" s="237">
        <v>72</v>
      </c>
      <c r="G42" s="237">
        <v>1</v>
      </c>
      <c r="H42" s="237">
        <v>8</v>
      </c>
      <c r="I42" s="237">
        <v>47</v>
      </c>
      <c r="J42" s="237">
        <v>14</v>
      </c>
      <c r="K42" s="237">
        <v>102</v>
      </c>
    </row>
    <row r="43" spans="1:11" s="55" customFormat="1" ht="14.1" customHeight="1">
      <c r="B43" s="62"/>
      <c r="C43" s="91"/>
      <c r="D43" s="170">
        <v>2016</v>
      </c>
      <c r="E43" s="175">
        <f t="shared" si="7"/>
        <v>224</v>
      </c>
      <c r="F43" s="237">
        <v>70</v>
      </c>
      <c r="G43" s="237">
        <v>1</v>
      </c>
      <c r="H43" s="237">
        <v>4</v>
      </c>
      <c r="I43" s="237">
        <v>39</v>
      </c>
      <c r="J43" s="237">
        <v>1</v>
      </c>
      <c r="K43" s="237">
        <v>109</v>
      </c>
    </row>
    <row r="44" spans="1:11" s="55" customFormat="1" ht="14.1" customHeight="1">
      <c r="A44" s="125"/>
      <c r="B44" s="370"/>
      <c r="C44" s="62"/>
      <c r="D44" s="170">
        <v>2017</v>
      </c>
      <c r="E44" s="175">
        <f t="shared" si="7"/>
        <v>198</v>
      </c>
      <c r="F44" s="237">
        <f>44+8</f>
        <v>52</v>
      </c>
      <c r="G44" s="237">
        <v>1</v>
      </c>
      <c r="H44" s="237">
        <v>4</v>
      </c>
      <c r="I44" s="237">
        <v>37</v>
      </c>
      <c r="J44" s="371" t="s">
        <v>51</v>
      </c>
      <c r="K44" s="237">
        <f>11+18+38+10+27</f>
        <v>104</v>
      </c>
    </row>
    <row r="45" spans="1:11" s="55" customFormat="1" ht="8.1" customHeight="1">
      <c r="A45" s="125"/>
      <c r="B45" s="370"/>
      <c r="C45" s="62"/>
      <c r="D45" s="170"/>
      <c r="E45" s="175"/>
      <c r="F45" s="237"/>
      <c r="G45" s="237"/>
      <c r="H45" s="237"/>
      <c r="I45" s="237"/>
      <c r="J45" s="237"/>
      <c r="K45" s="237"/>
    </row>
    <row r="46" spans="1:11" s="55" customFormat="1" ht="14.1" customHeight="1">
      <c r="B46" s="62" t="s">
        <v>68</v>
      </c>
      <c r="C46" s="91"/>
      <c r="D46" s="170">
        <v>2015</v>
      </c>
      <c r="E46" s="175">
        <f t="shared" ref="E46:E48" si="8">SUM(F46:K46)</f>
        <v>946</v>
      </c>
      <c r="F46" s="237">
        <v>341</v>
      </c>
      <c r="G46" s="237">
        <v>24</v>
      </c>
      <c r="H46" s="237">
        <v>53</v>
      </c>
      <c r="I46" s="237">
        <v>197</v>
      </c>
      <c r="J46" s="371" t="s">
        <v>51</v>
      </c>
      <c r="K46" s="237">
        <v>331</v>
      </c>
    </row>
    <row r="47" spans="1:11" s="55" customFormat="1" ht="14.1" customHeight="1">
      <c r="B47" s="62"/>
      <c r="C47" s="91"/>
      <c r="D47" s="170">
        <v>2016</v>
      </c>
      <c r="E47" s="175">
        <f t="shared" si="8"/>
        <v>885</v>
      </c>
      <c r="F47" s="237">
        <v>351</v>
      </c>
      <c r="G47" s="237">
        <v>17</v>
      </c>
      <c r="H47" s="237">
        <v>31</v>
      </c>
      <c r="I47" s="237">
        <v>173</v>
      </c>
      <c r="J47" s="371" t="s">
        <v>51</v>
      </c>
      <c r="K47" s="237">
        <v>313</v>
      </c>
    </row>
    <row r="48" spans="1:11" s="55" customFormat="1" ht="14.1" customHeight="1">
      <c r="B48" s="370"/>
      <c r="C48" s="62"/>
      <c r="D48" s="170">
        <v>2017</v>
      </c>
      <c r="E48" s="175">
        <f t="shared" si="8"/>
        <v>893</v>
      </c>
      <c r="F48" s="237">
        <f>204+76</f>
        <v>280</v>
      </c>
      <c r="G48" s="237">
        <f>1+4+11</f>
        <v>16</v>
      </c>
      <c r="H48" s="237">
        <v>31</v>
      </c>
      <c r="I48" s="237">
        <v>203</v>
      </c>
      <c r="J48" s="371" t="s">
        <v>51</v>
      </c>
      <c r="K48" s="237">
        <f>1+28+85+128+1+120</f>
        <v>363</v>
      </c>
    </row>
    <row r="49" spans="1:11" s="55" customFormat="1" ht="8.1" customHeight="1">
      <c r="B49" s="370"/>
      <c r="C49" s="62"/>
      <c r="D49" s="170"/>
      <c r="E49" s="175"/>
      <c r="F49" s="237"/>
      <c r="G49" s="237"/>
      <c r="H49" s="237"/>
      <c r="I49" s="237"/>
      <c r="J49" s="237"/>
      <c r="K49" s="237"/>
    </row>
    <row r="50" spans="1:11" s="55" customFormat="1" ht="14.1" customHeight="1">
      <c r="B50" s="62" t="s">
        <v>26</v>
      </c>
      <c r="C50" s="91"/>
      <c r="D50" s="170">
        <v>2015</v>
      </c>
      <c r="E50" s="175">
        <f t="shared" ref="E50:E52" si="9">SUM(F50:K50)</f>
        <v>234</v>
      </c>
      <c r="F50" s="237">
        <v>65</v>
      </c>
      <c r="G50" s="237">
        <v>5</v>
      </c>
      <c r="H50" s="237">
        <v>25</v>
      </c>
      <c r="I50" s="237">
        <v>101</v>
      </c>
      <c r="J50" s="371" t="s">
        <v>51</v>
      </c>
      <c r="K50" s="237">
        <v>38</v>
      </c>
    </row>
    <row r="51" spans="1:11" s="55" customFormat="1" ht="14.1" customHeight="1">
      <c r="B51" s="62"/>
      <c r="C51" s="91"/>
      <c r="D51" s="170">
        <v>2016</v>
      </c>
      <c r="E51" s="175">
        <f t="shared" si="9"/>
        <v>278</v>
      </c>
      <c r="F51" s="237">
        <v>64</v>
      </c>
      <c r="G51" s="237">
        <v>12</v>
      </c>
      <c r="H51" s="237">
        <v>20</v>
      </c>
      <c r="I51" s="237">
        <v>79</v>
      </c>
      <c r="J51" s="237">
        <v>2</v>
      </c>
      <c r="K51" s="237">
        <v>101</v>
      </c>
    </row>
    <row r="52" spans="1:11" s="55" customFormat="1" ht="14.1" customHeight="1">
      <c r="A52" s="125"/>
      <c r="B52" s="370"/>
      <c r="C52" s="62"/>
      <c r="D52" s="170">
        <v>2017</v>
      </c>
      <c r="E52" s="175">
        <f t="shared" si="9"/>
        <v>258</v>
      </c>
      <c r="F52" s="237">
        <f>58+10</f>
        <v>68</v>
      </c>
      <c r="G52" s="237">
        <v>3</v>
      </c>
      <c r="H52" s="237">
        <v>14</v>
      </c>
      <c r="I52" s="237">
        <v>69</v>
      </c>
      <c r="J52" s="371" t="s">
        <v>51</v>
      </c>
      <c r="K52" s="237">
        <f>4+18+39+1+42</f>
        <v>104</v>
      </c>
    </row>
    <row r="53" spans="1:11" s="55" customFormat="1" ht="8.1" customHeight="1">
      <c r="A53" s="125"/>
      <c r="B53" s="370"/>
      <c r="C53" s="62"/>
      <c r="D53" s="170"/>
      <c r="E53" s="175"/>
      <c r="F53" s="237"/>
      <c r="G53" s="237"/>
      <c r="H53" s="237"/>
      <c r="I53" s="237"/>
      <c r="J53" s="237"/>
      <c r="K53" s="237"/>
    </row>
    <row r="54" spans="1:11" s="55" customFormat="1" ht="14.1" customHeight="1">
      <c r="B54" s="62" t="s">
        <v>27</v>
      </c>
      <c r="C54" s="91"/>
      <c r="D54" s="170">
        <v>2015</v>
      </c>
      <c r="E54" s="175">
        <f t="shared" ref="E54:E56" si="10">SUM(F54:K54)</f>
        <v>98</v>
      </c>
      <c r="F54" s="237">
        <v>20</v>
      </c>
      <c r="G54" s="371" t="s">
        <v>51</v>
      </c>
      <c r="H54" s="237">
        <v>4</v>
      </c>
      <c r="I54" s="237">
        <v>30</v>
      </c>
      <c r="J54" s="371" t="s">
        <v>51</v>
      </c>
      <c r="K54" s="237">
        <v>44</v>
      </c>
    </row>
    <row r="55" spans="1:11" s="55" customFormat="1" ht="14.1" customHeight="1">
      <c r="B55" s="62"/>
      <c r="C55" s="91"/>
      <c r="D55" s="170">
        <v>2016</v>
      </c>
      <c r="E55" s="175">
        <f t="shared" si="10"/>
        <v>139</v>
      </c>
      <c r="F55" s="237">
        <v>23</v>
      </c>
      <c r="G55" s="237">
        <v>4</v>
      </c>
      <c r="H55" s="237">
        <v>3</v>
      </c>
      <c r="I55" s="237">
        <v>32</v>
      </c>
      <c r="J55" s="237">
        <v>2</v>
      </c>
      <c r="K55" s="237">
        <v>75</v>
      </c>
    </row>
    <row r="56" spans="1:11" s="55" customFormat="1" ht="14.1" customHeight="1">
      <c r="A56" s="125"/>
      <c r="B56" s="370"/>
      <c r="C56" s="62"/>
      <c r="D56" s="170">
        <v>2017</v>
      </c>
      <c r="E56" s="175">
        <f t="shared" si="10"/>
        <v>138</v>
      </c>
      <c r="F56" s="237">
        <f>21+13</f>
        <v>34</v>
      </c>
      <c r="G56" s="371" t="s">
        <v>51</v>
      </c>
      <c r="H56" s="237">
        <v>1</v>
      </c>
      <c r="I56" s="237">
        <v>19</v>
      </c>
      <c r="J56" s="371" t="s">
        <v>51</v>
      </c>
      <c r="K56" s="237">
        <f>7+14+28+17+18</f>
        <v>84</v>
      </c>
    </row>
    <row r="57" spans="1:11" s="55" customFormat="1" ht="8.1" customHeight="1">
      <c r="A57" s="125"/>
      <c r="B57" s="370"/>
      <c r="C57" s="62"/>
      <c r="D57" s="170"/>
      <c r="E57" s="175"/>
      <c r="F57" s="237"/>
      <c r="G57" s="237"/>
      <c r="H57" s="237"/>
      <c r="I57" s="237"/>
      <c r="J57" s="237"/>
      <c r="K57" s="237"/>
    </row>
    <row r="58" spans="1:11" s="55" customFormat="1" ht="14.1" customHeight="1">
      <c r="B58" s="62" t="s">
        <v>28</v>
      </c>
      <c r="C58" s="91"/>
      <c r="D58" s="170">
        <v>2015</v>
      </c>
      <c r="E58" s="175">
        <f t="shared" ref="E58:E60" si="11">SUM(F58:K58)</f>
        <v>1459</v>
      </c>
      <c r="F58" s="237">
        <v>382</v>
      </c>
      <c r="G58" s="237">
        <v>35</v>
      </c>
      <c r="H58" s="237">
        <v>134</v>
      </c>
      <c r="I58" s="237">
        <v>579</v>
      </c>
      <c r="J58" s="237">
        <v>3</v>
      </c>
      <c r="K58" s="237">
        <v>326</v>
      </c>
    </row>
    <row r="59" spans="1:11" s="55" customFormat="1" ht="14.1" customHeight="1">
      <c r="B59" s="62"/>
      <c r="C59" s="91"/>
      <c r="D59" s="170">
        <v>2016</v>
      </c>
      <c r="E59" s="175">
        <f t="shared" si="11"/>
        <v>1355</v>
      </c>
      <c r="F59" s="237">
        <v>352</v>
      </c>
      <c r="G59" s="237">
        <v>69</v>
      </c>
      <c r="H59" s="237">
        <v>102</v>
      </c>
      <c r="I59" s="237">
        <v>552</v>
      </c>
      <c r="J59" s="371" t="s">
        <v>51</v>
      </c>
      <c r="K59" s="237">
        <v>280</v>
      </c>
    </row>
    <row r="60" spans="1:11" s="55" customFormat="1" ht="14.1" customHeight="1">
      <c r="A60" s="125"/>
      <c r="B60" s="370"/>
      <c r="C60" s="62"/>
      <c r="D60" s="170">
        <v>2017</v>
      </c>
      <c r="E60" s="175">
        <f t="shared" si="11"/>
        <v>1199</v>
      </c>
      <c r="F60" s="237">
        <f>230+103</f>
        <v>333</v>
      </c>
      <c r="G60" s="237">
        <f>1+37</f>
        <v>38</v>
      </c>
      <c r="H60" s="237">
        <v>109</v>
      </c>
      <c r="I60" s="237">
        <v>403</v>
      </c>
      <c r="J60" s="371" t="s">
        <v>51</v>
      </c>
      <c r="K60" s="237">
        <f>1+39+61+146+2+66+1</f>
        <v>316</v>
      </c>
    </row>
    <row r="61" spans="1:11" s="55" customFormat="1" ht="8.1" customHeight="1">
      <c r="A61" s="125"/>
      <c r="B61" s="370"/>
      <c r="C61" s="62"/>
      <c r="D61" s="170"/>
      <c r="E61" s="175"/>
      <c r="F61" s="237"/>
      <c r="G61" s="237"/>
      <c r="H61" s="237"/>
      <c r="I61" s="237"/>
      <c r="J61" s="237"/>
      <c r="K61" s="237"/>
    </row>
    <row r="62" spans="1:11" s="55" customFormat="1" ht="14.1" customHeight="1">
      <c r="B62" s="62" t="s">
        <v>29</v>
      </c>
      <c r="C62" s="91"/>
      <c r="D62" s="170">
        <v>2015</v>
      </c>
      <c r="E62" s="175">
        <f t="shared" ref="E62:E64" si="12">SUM(F62:K62)</f>
        <v>230</v>
      </c>
      <c r="F62" s="237">
        <v>68</v>
      </c>
      <c r="G62" s="237">
        <v>7</v>
      </c>
      <c r="H62" s="237">
        <v>9</v>
      </c>
      <c r="I62" s="237">
        <v>59</v>
      </c>
      <c r="J62" s="371" t="s">
        <v>51</v>
      </c>
      <c r="K62" s="237">
        <v>87</v>
      </c>
    </row>
    <row r="63" spans="1:11" s="55" customFormat="1" ht="14.1" customHeight="1">
      <c r="B63" s="62"/>
      <c r="C63" s="91"/>
      <c r="D63" s="170">
        <v>2016</v>
      </c>
      <c r="E63" s="175">
        <f t="shared" si="12"/>
        <v>231</v>
      </c>
      <c r="F63" s="371">
        <v>88</v>
      </c>
      <c r="G63" s="237">
        <v>6</v>
      </c>
      <c r="H63" s="237">
        <v>12</v>
      </c>
      <c r="I63" s="237">
        <v>55</v>
      </c>
      <c r="J63" s="371" t="s">
        <v>51</v>
      </c>
      <c r="K63" s="237">
        <v>70</v>
      </c>
    </row>
    <row r="64" spans="1:11" s="55" customFormat="1" ht="14.1" customHeight="1">
      <c r="B64" s="62"/>
      <c r="C64" s="62"/>
      <c r="D64" s="170">
        <v>2017</v>
      </c>
      <c r="E64" s="175">
        <f t="shared" si="12"/>
        <v>171</v>
      </c>
      <c r="F64" s="374">
        <f>43+5</f>
        <v>48</v>
      </c>
      <c r="G64" s="374">
        <v>2</v>
      </c>
      <c r="H64" s="374">
        <v>5</v>
      </c>
      <c r="I64" s="374">
        <v>34</v>
      </c>
      <c r="J64" s="375" t="s">
        <v>51</v>
      </c>
      <c r="K64" s="374">
        <f>5+4+11+33+29</f>
        <v>82</v>
      </c>
    </row>
    <row r="65" spans="1:12" ht="8.1" customHeight="1" thickBot="1">
      <c r="A65" s="34"/>
      <c r="B65" s="16"/>
      <c r="C65" s="16"/>
      <c r="D65" s="345"/>
      <c r="E65" s="239"/>
      <c r="F65" s="376"/>
      <c r="G65" s="376"/>
      <c r="H65" s="376"/>
      <c r="I65" s="376"/>
      <c r="J65" s="376"/>
      <c r="K65" s="376"/>
      <c r="L65" s="34"/>
    </row>
    <row r="66" spans="1:12">
      <c r="K66" s="8" t="s">
        <v>104</v>
      </c>
    </row>
    <row r="67" spans="1:12">
      <c r="K67" s="41" t="s">
        <v>1</v>
      </c>
    </row>
  </sheetData>
  <mergeCells count="6">
    <mergeCell ref="B10:C11"/>
    <mergeCell ref="E10:E11"/>
    <mergeCell ref="F10:F11"/>
    <mergeCell ref="G10:I10"/>
    <mergeCell ref="J10:J11"/>
    <mergeCell ref="K10:K11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5" fitToWidth="0" orientation="portrait" r:id="rId1"/>
  <headerFooter>
    <oddHeader xml:space="preserve">&amp;R&amp;"-,Bold"
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N62"/>
  <sheetViews>
    <sheetView showGridLines="0" topLeftCell="A7" zoomScaleNormal="100" zoomScaleSheetLayoutView="100" workbookViewId="0">
      <selection activeCell="AF36" sqref="AF36"/>
    </sheetView>
  </sheetViews>
  <sheetFormatPr defaultRowHeight="15"/>
  <cols>
    <col min="1" max="1" width="0.85546875" style="2" customWidth="1"/>
    <col min="2" max="2" width="10.140625" style="3" customWidth="1"/>
    <col min="3" max="3" width="11.28515625" style="3" customWidth="1"/>
    <col min="4" max="4" width="10.7109375" style="3" customWidth="1"/>
    <col min="5" max="5" width="10.140625" style="4" customWidth="1"/>
    <col min="6" max="6" width="11.7109375" style="5" customWidth="1"/>
    <col min="7" max="7" width="10.42578125" style="5" customWidth="1"/>
    <col min="8" max="8" width="11.7109375" style="261" customWidth="1"/>
    <col min="9" max="9" width="12.28515625" style="5" customWidth="1"/>
    <col min="10" max="10" width="10.5703125" style="2" customWidth="1"/>
    <col min="11" max="11" width="11" style="2" customWidth="1"/>
    <col min="12" max="12" width="1.140625" style="2" customWidth="1"/>
    <col min="13" max="16384" width="9.140625" style="2"/>
  </cols>
  <sheetData>
    <row r="1" spans="1:12" s="30" customFormat="1" ht="12.95" customHeight="1">
      <c r="B1" s="27"/>
      <c r="C1" s="27"/>
      <c r="D1" s="29"/>
      <c r="E1" s="28"/>
      <c r="F1" s="29"/>
      <c r="J1" s="29"/>
      <c r="K1" s="199" t="s">
        <v>188</v>
      </c>
    </row>
    <row r="2" spans="1:12" s="30" customFormat="1" ht="12.95" customHeight="1">
      <c r="B2" s="27"/>
      <c r="C2" s="27"/>
      <c r="D2" s="29"/>
      <c r="E2" s="28"/>
      <c r="F2" s="29"/>
      <c r="J2" s="29"/>
      <c r="K2" s="75" t="s">
        <v>189</v>
      </c>
    </row>
    <row r="3" spans="1:12" s="30" customFormat="1" ht="12" customHeight="1">
      <c r="B3" s="27"/>
      <c r="C3" s="27"/>
      <c r="D3" s="29"/>
      <c r="E3" s="28"/>
      <c r="F3" s="29"/>
      <c r="G3" s="75"/>
      <c r="J3" s="29"/>
    </row>
    <row r="4" spans="1:12" s="30" customFormat="1" ht="12" customHeight="1">
      <c r="B4" s="27"/>
      <c r="C4" s="27"/>
      <c r="D4" s="29"/>
      <c r="E4" s="28"/>
      <c r="F4" s="29"/>
      <c r="G4" s="75"/>
      <c r="J4" s="29"/>
    </row>
    <row r="5" spans="1:12" s="55" customFormat="1" ht="9.9499999999999993" customHeight="1">
      <c r="B5" s="124"/>
      <c r="C5" s="124"/>
      <c r="D5" s="265"/>
      <c r="E5" s="266"/>
      <c r="F5" s="265"/>
      <c r="G5" s="265"/>
      <c r="H5" s="267"/>
      <c r="I5" s="265"/>
      <c r="J5" s="123"/>
    </row>
    <row r="6" spans="1:12" s="55" customFormat="1" ht="15" customHeight="1">
      <c r="B6" s="70" t="s">
        <v>234</v>
      </c>
      <c r="C6" s="71" t="s">
        <v>241</v>
      </c>
      <c r="D6" s="265"/>
      <c r="E6" s="266"/>
      <c r="F6" s="71"/>
      <c r="G6" s="71"/>
      <c r="H6" s="71"/>
      <c r="I6" s="71"/>
      <c r="J6" s="88"/>
      <c r="K6" s="71"/>
      <c r="L6" s="241"/>
    </row>
    <row r="7" spans="1:12" s="55" customFormat="1" ht="18" customHeight="1">
      <c r="B7" s="89" t="s">
        <v>236</v>
      </c>
      <c r="C7" s="95" t="s">
        <v>242</v>
      </c>
      <c r="D7" s="265"/>
      <c r="E7" s="266"/>
      <c r="F7" s="95"/>
      <c r="G7" s="95"/>
      <c r="H7" s="95"/>
      <c r="I7" s="95"/>
      <c r="J7" s="339"/>
      <c r="K7" s="95"/>
      <c r="L7" s="243"/>
    </row>
    <row r="8" spans="1:12" s="55" customFormat="1" ht="8.1" customHeight="1" thickBot="1">
      <c r="B8" s="282"/>
      <c r="C8" s="282"/>
      <c r="D8" s="311"/>
      <c r="E8" s="310"/>
      <c r="F8" s="311"/>
      <c r="G8" s="311"/>
      <c r="H8" s="312"/>
      <c r="I8" s="311"/>
      <c r="J8" s="172"/>
      <c r="K8" s="125"/>
    </row>
    <row r="9" spans="1:12" s="55" customFormat="1" ht="8.1" customHeight="1" thickTop="1">
      <c r="A9" s="268"/>
      <c r="B9" s="270"/>
      <c r="C9" s="270"/>
      <c r="D9" s="273"/>
      <c r="E9" s="313"/>
      <c r="F9" s="273"/>
      <c r="G9" s="273"/>
      <c r="H9" s="314"/>
      <c r="I9" s="273"/>
      <c r="J9" s="272"/>
      <c r="K9" s="268"/>
      <c r="L9" s="268"/>
    </row>
    <row r="10" spans="1:12" s="55" customFormat="1" ht="30.75" customHeight="1">
      <c r="A10" s="249"/>
      <c r="B10" s="315" t="s">
        <v>238</v>
      </c>
      <c r="C10" s="315"/>
      <c r="D10" s="350" t="s">
        <v>100</v>
      </c>
      <c r="E10" s="259" t="s">
        <v>95</v>
      </c>
      <c r="F10" s="259" t="s">
        <v>239</v>
      </c>
      <c r="G10" s="255" t="s">
        <v>218</v>
      </c>
      <c r="H10" s="255"/>
      <c r="I10" s="255"/>
      <c r="J10" s="256" t="s">
        <v>219</v>
      </c>
      <c r="K10" s="259" t="s">
        <v>220</v>
      </c>
      <c r="L10" s="249"/>
    </row>
    <row r="11" spans="1:12" s="111" customFormat="1" ht="55.5" customHeight="1">
      <c r="A11" s="257"/>
      <c r="B11" s="317"/>
      <c r="C11" s="317"/>
      <c r="D11" s="340"/>
      <c r="E11" s="318"/>
      <c r="F11" s="318"/>
      <c r="G11" s="319" t="s">
        <v>221</v>
      </c>
      <c r="H11" s="319" t="s">
        <v>222</v>
      </c>
      <c r="I11" s="319" t="s">
        <v>240</v>
      </c>
      <c r="J11" s="260"/>
      <c r="K11" s="318"/>
      <c r="L11" s="257"/>
    </row>
    <row r="12" spans="1:12" s="6" customFormat="1" ht="8.1" customHeight="1">
      <c r="A12" s="24"/>
      <c r="B12" s="377"/>
      <c r="C12" s="377"/>
      <c r="D12" s="378"/>
      <c r="E12" s="379"/>
      <c r="F12" s="380"/>
      <c r="G12" s="379"/>
      <c r="H12" s="379"/>
      <c r="I12" s="379"/>
      <c r="J12" s="380"/>
      <c r="K12" s="379"/>
    </row>
    <row r="13" spans="1:12" s="125" customFormat="1" ht="15" customHeight="1">
      <c r="A13" s="124"/>
      <c r="B13" s="68" t="s">
        <v>103</v>
      </c>
      <c r="C13" s="133"/>
      <c r="D13" s="69">
        <v>2015</v>
      </c>
      <c r="E13" s="174">
        <f>SUM(F13:K13)</f>
        <v>3580</v>
      </c>
      <c r="F13" s="233">
        <v>795</v>
      </c>
      <c r="G13" s="233">
        <v>93</v>
      </c>
      <c r="H13" s="233">
        <v>329</v>
      </c>
      <c r="I13" s="233">
        <v>1594</v>
      </c>
      <c r="J13" s="233">
        <v>42</v>
      </c>
      <c r="K13" s="233">
        <v>727</v>
      </c>
    </row>
    <row r="14" spans="1:12" s="125" customFormat="1" ht="15" customHeight="1">
      <c r="A14" s="124"/>
      <c r="B14" s="133"/>
      <c r="C14" s="133"/>
      <c r="D14" s="69">
        <v>2016</v>
      </c>
      <c r="E14" s="174">
        <f t="shared" ref="E14" si="0">SUM(F14:K14)</f>
        <v>3126</v>
      </c>
      <c r="F14" s="233">
        <v>719</v>
      </c>
      <c r="G14" s="233">
        <v>103</v>
      </c>
      <c r="H14" s="233">
        <v>254</v>
      </c>
      <c r="I14" s="233">
        <v>1399</v>
      </c>
      <c r="J14" s="233">
        <v>29</v>
      </c>
      <c r="K14" s="233">
        <v>622</v>
      </c>
    </row>
    <row r="15" spans="1:12" s="125" customFormat="1" ht="15" customHeight="1">
      <c r="A15" s="124"/>
      <c r="B15" s="133"/>
      <c r="C15" s="133"/>
      <c r="D15" s="69">
        <v>2017</v>
      </c>
      <c r="E15" s="174">
        <f>SUM(F15:K15)</f>
        <v>2951</v>
      </c>
      <c r="F15" s="233">
        <f>F19+F23+F27+F31+F35+F39+F43+F47+F51+F55+F59</f>
        <v>794</v>
      </c>
      <c r="G15" s="233">
        <f>G19+G23+G27+G31+G35+G39+G43+G51+G55+G59</f>
        <v>58</v>
      </c>
      <c r="H15" s="233">
        <f t="shared" ref="H15:K15" si="1">H19+H23+H27+H31+H35+H39+H43+H47+H51+H55+H59</f>
        <v>214</v>
      </c>
      <c r="I15" s="233">
        <f t="shared" si="1"/>
        <v>1173</v>
      </c>
      <c r="J15" s="233">
        <f>+J35+J39+J47+J51+J55</f>
        <v>5</v>
      </c>
      <c r="K15" s="233">
        <f t="shared" si="1"/>
        <v>707</v>
      </c>
    </row>
    <row r="16" spans="1:12" s="125" customFormat="1" ht="8.1" customHeight="1">
      <c r="A16" s="124"/>
      <c r="B16" s="133"/>
      <c r="C16" s="133"/>
      <c r="D16" s="69"/>
      <c r="E16" s="174"/>
      <c r="F16" s="233"/>
      <c r="G16" s="233"/>
      <c r="H16" s="233"/>
      <c r="I16" s="233"/>
      <c r="J16" s="233"/>
      <c r="K16" s="233"/>
    </row>
    <row r="17" spans="1:11" s="92" customFormat="1" ht="15" customHeight="1">
      <c r="A17" s="55"/>
      <c r="B17" s="62" t="s">
        <v>32</v>
      </c>
      <c r="C17" s="62"/>
      <c r="D17" s="170">
        <v>2015</v>
      </c>
      <c r="E17" s="175">
        <f t="shared" ref="E17:E18" si="2">SUM(F17:K17)</f>
        <v>392</v>
      </c>
      <c r="F17" s="237">
        <v>89</v>
      </c>
      <c r="G17" s="237">
        <v>11</v>
      </c>
      <c r="H17" s="237">
        <v>38</v>
      </c>
      <c r="I17" s="237">
        <v>115</v>
      </c>
      <c r="J17" s="237">
        <v>9</v>
      </c>
      <c r="K17" s="237">
        <v>130</v>
      </c>
    </row>
    <row r="18" spans="1:11" s="125" customFormat="1" ht="15" customHeight="1">
      <c r="B18" s="62"/>
      <c r="C18" s="62"/>
      <c r="D18" s="170">
        <v>2016</v>
      </c>
      <c r="E18" s="175">
        <f t="shared" si="2"/>
        <v>332</v>
      </c>
      <c r="F18" s="237">
        <v>104</v>
      </c>
      <c r="G18" s="237">
        <v>4</v>
      </c>
      <c r="H18" s="237">
        <v>25</v>
      </c>
      <c r="I18" s="237">
        <v>67</v>
      </c>
      <c r="J18" s="237">
        <v>8</v>
      </c>
      <c r="K18" s="237">
        <v>124</v>
      </c>
    </row>
    <row r="19" spans="1:11" s="55" customFormat="1" ht="15" customHeight="1">
      <c r="A19" s="125"/>
      <c r="B19" s="62"/>
      <c r="C19" s="62"/>
      <c r="D19" s="170">
        <v>2017</v>
      </c>
      <c r="E19" s="175">
        <f>SUM(F19:K19)</f>
        <v>280</v>
      </c>
      <c r="F19" s="237">
        <f>59+27</f>
        <v>86</v>
      </c>
      <c r="G19" s="237">
        <v>1</v>
      </c>
      <c r="H19" s="237">
        <v>12</v>
      </c>
      <c r="I19" s="237">
        <v>72</v>
      </c>
      <c r="J19" s="371" t="s">
        <v>51</v>
      </c>
      <c r="K19" s="237">
        <f>7+20+33+47+2</f>
        <v>109</v>
      </c>
    </row>
    <row r="20" spans="1:11" s="55" customFormat="1" ht="8.1" customHeight="1">
      <c r="A20" s="125"/>
      <c r="B20" s="62"/>
      <c r="C20" s="62"/>
      <c r="D20" s="170"/>
      <c r="E20" s="175"/>
      <c r="F20" s="237"/>
      <c r="G20" s="237"/>
      <c r="H20" s="237"/>
      <c r="I20" s="237"/>
      <c r="J20" s="237"/>
      <c r="K20" s="237"/>
    </row>
    <row r="21" spans="1:11" s="55" customFormat="1" ht="15" customHeight="1">
      <c r="B21" s="62" t="s">
        <v>42</v>
      </c>
      <c r="C21" s="62"/>
      <c r="D21" s="170">
        <v>2015</v>
      </c>
      <c r="E21" s="175">
        <f t="shared" ref="E21:E22" si="3">SUM(F21:K21)</f>
        <v>136</v>
      </c>
      <c r="F21" s="237">
        <v>34</v>
      </c>
      <c r="G21" s="237">
        <v>2</v>
      </c>
      <c r="H21" s="237">
        <v>5</v>
      </c>
      <c r="I21" s="237">
        <v>43</v>
      </c>
      <c r="J21" s="237">
        <v>5</v>
      </c>
      <c r="K21" s="237">
        <v>47</v>
      </c>
    </row>
    <row r="22" spans="1:11" s="55" customFormat="1" ht="15" customHeight="1">
      <c r="B22" s="62"/>
      <c r="C22" s="62"/>
      <c r="D22" s="170">
        <v>2016</v>
      </c>
      <c r="E22" s="175">
        <f t="shared" si="3"/>
        <v>153</v>
      </c>
      <c r="F22" s="237">
        <v>49</v>
      </c>
      <c r="G22" s="237">
        <v>11</v>
      </c>
      <c r="H22" s="237">
        <v>5</v>
      </c>
      <c r="I22" s="237">
        <v>48</v>
      </c>
      <c r="J22" s="237">
        <v>4</v>
      </c>
      <c r="K22" s="237">
        <v>36</v>
      </c>
    </row>
    <row r="23" spans="1:11" s="55" customFormat="1" ht="15" customHeight="1">
      <c r="A23" s="125"/>
      <c r="B23" s="62"/>
      <c r="C23" s="62"/>
      <c r="D23" s="170">
        <v>2017</v>
      </c>
      <c r="E23" s="175">
        <f>SUM(F23:K23)</f>
        <v>100</v>
      </c>
      <c r="F23" s="237">
        <f>27+5</f>
        <v>32</v>
      </c>
      <c r="G23" s="237">
        <v>2</v>
      </c>
      <c r="H23" s="237">
        <v>3</v>
      </c>
      <c r="I23" s="237">
        <v>36</v>
      </c>
      <c r="J23" s="371" t="s">
        <v>51</v>
      </c>
      <c r="K23" s="237">
        <f>1+1+4+1+20</f>
        <v>27</v>
      </c>
    </row>
    <row r="24" spans="1:11" s="55" customFormat="1" ht="8.1" customHeight="1">
      <c r="A24" s="125"/>
      <c r="B24" s="62"/>
      <c r="C24" s="62"/>
      <c r="D24" s="170"/>
      <c r="E24" s="175"/>
      <c r="F24" s="237"/>
      <c r="G24" s="237"/>
      <c r="H24" s="237"/>
      <c r="I24" s="237"/>
      <c r="J24" s="237"/>
      <c r="K24" s="237"/>
    </row>
    <row r="25" spans="1:11" s="55" customFormat="1" ht="15" customHeight="1">
      <c r="B25" s="62" t="s">
        <v>33</v>
      </c>
      <c r="C25" s="62"/>
      <c r="D25" s="170">
        <v>2015</v>
      </c>
      <c r="E25" s="175">
        <f t="shared" ref="E25:E26" si="4">SUM(F25:K25)</f>
        <v>41</v>
      </c>
      <c r="F25" s="237">
        <v>6</v>
      </c>
      <c r="G25" s="237">
        <v>5</v>
      </c>
      <c r="H25" s="237">
        <v>7</v>
      </c>
      <c r="I25" s="237">
        <v>19</v>
      </c>
      <c r="J25" s="371" t="s">
        <v>51</v>
      </c>
      <c r="K25" s="237">
        <v>4</v>
      </c>
    </row>
    <row r="26" spans="1:11" s="55" customFormat="1" ht="15" customHeight="1">
      <c r="B26" s="62"/>
      <c r="C26" s="62"/>
      <c r="D26" s="170">
        <v>2016</v>
      </c>
      <c r="E26" s="175">
        <f t="shared" si="4"/>
        <v>59</v>
      </c>
      <c r="F26" s="237">
        <v>14</v>
      </c>
      <c r="G26" s="237">
        <v>3</v>
      </c>
      <c r="H26" s="237">
        <v>16</v>
      </c>
      <c r="I26" s="237">
        <v>23</v>
      </c>
      <c r="J26" s="371" t="s">
        <v>51</v>
      </c>
      <c r="K26" s="237">
        <v>3</v>
      </c>
    </row>
    <row r="27" spans="1:11" s="55" customFormat="1" ht="15" customHeight="1">
      <c r="A27" s="125"/>
      <c r="B27" s="62"/>
      <c r="C27" s="62"/>
      <c r="D27" s="170">
        <v>2017</v>
      </c>
      <c r="E27" s="175">
        <f>SUM(F27:K27)</f>
        <v>63</v>
      </c>
      <c r="F27" s="237">
        <f>5+7</f>
        <v>12</v>
      </c>
      <c r="G27" s="237">
        <v>1</v>
      </c>
      <c r="H27" s="237">
        <v>10</v>
      </c>
      <c r="I27" s="237">
        <v>23</v>
      </c>
      <c r="J27" s="371" t="s">
        <v>51</v>
      </c>
      <c r="K27" s="237">
        <f>1+4+6+6</f>
        <v>17</v>
      </c>
    </row>
    <row r="28" spans="1:11" s="55" customFormat="1" ht="8.1" customHeight="1">
      <c r="A28" s="125"/>
      <c r="B28" s="62"/>
      <c r="C28" s="62"/>
      <c r="D28" s="170"/>
      <c r="E28" s="175"/>
      <c r="F28" s="237"/>
      <c r="G28" s="237"/>
      <c r="H28" s="237"/>
      <c r="I28" s="237"/>
      <c r="J28" s="237"/>
      <c r="K28" s="237"/>
    </row>
    <row r="29" spans="1:11" s="55" customFormat="1" ht="15" customHeight="1">
      <c r="B29" s="62" t="s">
        <v>34</v>
      </c>
      <c r="C29" s="62"/>
      <c r="D29" s="170">
        <v>2015</v>
      </c>
      <c r="E29" s="175">
        <f t="shared" ref="E29:E30" si="5">SUM(F29:K29)</f>
        <v>180</v>
      </c>
      <c r="F29" s="237">
        <v>53</v>
      </c>
      <c r="G29" s="237">
        <v>2</v>
      </c>
      <c r="H29" s="237">
        <v>9</v>
      </c>
      <c r="I29" s="237">
        <v>65</v>
      </c>
      <c r="J29" s="237">
        <v>5</v>
      </c>
      <c r="K29" s="237">
        <v>46</v>
      </c>
    </row>
    <row r="30" spans="1:11" s="55" customFormat="1" ht="15" customHeight="1">
      <c r="B30" s="62"/>
      <c r="C30" s="62"/>
      <c r="D30" s="170">
        <v>2016</v>
      </c>
      <c r="E30" s="175">
        <f t="shared" si="5"/>
        <v>176</v>
      </c>
      <c r="F30" s="237">
        <v>49</v>
      </c>
      <c r="G30" s="371" t="s">
        <v>51</v>
      </c>
      <c r="H30" s="237">
        <v>14</v>
      </c>
      <c r="I30" s="237">
        <v>60</v>
      </c>
      <c r="J30" s="237">
        <v>3</v>
      </c>
      <c r="K30" s="237">
        <v>50</v>
      </c>
    </row>
    <row r="31" spans="1:11" s="55" customFormat="1" ht="15" customHeight="1">
      <c r="A31" s="125"/>
      <c r="B31" s="62"/>
      <c r="C31" s="62"/>
      <c r="D31" s="170">
        <v>2017</v>
      </c>
      <c r="E31" s="175">
        <f>SUM(F31:K31)</f>
        <v>162</v>
      </c>
      <c r="F31" s="237">
        <f>50+11</f>
        <v>61</v>
      </c>
      <c r="G31" s="237">
        <v>4</v>
      </c>
      <c r="H31" s="237">
        <v>11</v>
      </c>
      <c r="I31" s="237">
        <v>32</v>
      </c>
      <c r="J31" s="371" t="s">
        <v>51</v>
      </c>
      <c r="K31" s="237">
        <f>2+4+9+17+2+20</f>
        <v>54</v>
      </c>
    </row>
    <row r="32" spans="1:11" s="55" customFormat="1" ht="8.1" customHeight="1">
      <c r="A32" s="125"/>
      <c r="B32" s="62"/>
      <c r="C32" s="62"/>
      <c r="D32" s="170"/>
      <c r="E32" s="175"/>
      <c r="F32" s="237"/>
      <c r="G32" s="237"/>
      <c r="H32" s="237"/>
      <c r="I32" s="237"/>
      <c r="J32" s="237"/>
      <c r="K32" s="237"/>
    </row>
    <row r="33" spans="1:14" s="124" customFormat="1" ht="15" customHeight="1">
      <c r="A33" s="55"/>
      <c r="B33" s="62" t="s">
        <v>36</v>
      </c>
      <c r="C33" s="62"/>
      <c r="D33" s="170">
        <v>2015</v>
      </c>
      <c r="E33" s="175">
        <f t="shared" ref="E33:E34" si="6">SUM(F33:K33)</f>
        <v>122</v>
      </c>
      <c r="F33" s="371">
        <v>27</v>
      </c>
      <c r="G33" s="371">
        <v>3</v>
      </c>
      <c r="H33" s="237">
        <v>13</v>
      </c>
      <c r="I33" s="371">
        <v>43</v>
      </c>
      <c r="J33" s="237">
        <v>1</v>
      </c>
      <c r="K33" s="237">
        <v>35</v>
      </c>
      <c r="L33" s="55"/>
      <c r="M33" s="55"/>
      <c r="N33" s="55"/>
    </row>
    <row r="34" spans="1:14" s="55" customFormat="1" ht="15" customHeight="1">
      <c r="B34" s="62"/>
      <c r="C34" s="62"/>
      <c r="D34" s="170">
        <v>2016</v>
      </c>
      <c r="E34" s="175">
        <f t="shared" si="6"/>
        <v>115</v>
      </c>
      <c r="F34" s="237">
        <v>26</v>
      </c>
      <c r="G34" s="237">
        <v>8</v>
      </c>
      <c r="H34" s="237">
        <v>7</v>
      </c>
      <c r="I34" s="237">
        <v>39</v>
      </c>
      <c r="J34" s="237">
        <v>1</v>
      </c>
      <c r="K34" s="237">
        <v>34</v>
      </c>
    </row>
    <row r="35" spans="1:14" s="55" customFormat="1" ht="15" customHeight="1">
      <c r="A35" s="125"/>
      <c r="B35" s="62"/>
      <c r="C35" s="62"/>
      <c r="D35" s="170">
        <v>2017</v>
      </c>
      <c r="E35" s="175">
        <f>SUM(F35:K35)</f>
        <v>112</v>
      </c>
      <c r="F35" s="371">
        <f>26+3</f>
        <v>29</v>
      </c>
      <c r="G35" s="371">
        <f>1+5</f>
        <v>6</v>
      </c>
      <c r="H35" s="237">
        <v>2</v>
      </c>
      <c r="I35" s="371">
        <v>32</v>
      </c>
      <c r="J35" s="237">
        <v>1</v>
      </c>
      <c r="K35" s="237">
        <f>4+4+17+1+16</f>
        <v>42</v>
      </c>
    </row>
    <row r="36" spans="1:14" s="55" customFormat="1" ht="8.1" customHeight="1">
      <c r="A36" s="125"/>
      <c r="B36" s="62"/>
      <c r="C36" s="62"/>
      <c r="D36" s="170"/>
      <c r="E36" s="175"/>
      <c r="F36" s="371"/>
      <c r="G36" s="371"/>
      <c r="H36" s="237"/>
      <c r="I36" s="371"/>
      <c r="J36" s="237"/>
      <c r="K36" s="237"/>
    </row>
    <row r="37" spans="1:14" s="55" customFormat="1" ht="15" customHeight="1">
      <c r="B37" s="62" t="s">
        <v>35</v>
      </c>
      <c r="C37" s="62"/>
      <c r="D37" s="170">
        <v>2015</v>
      </c>
      <c r="E37" s="175">
        <f t="shared" ref="E37:E38" si="7">SUM(F37:K37)</f>
        <v>1592</v>
      </c>
      <c r="F37" s="237">
        <v>282</v>
      </c>
      <c r="G37" s="237">
        <v>56</v>
      </c>
      <c r="H37" s="237">
        <v>186</v>
      </c>
      <c r="I37" s="237">
        <v>787</v>
      </c>
      <c r="J37" s="237">
        <v>15</v>
      </c>
      <c r="K37" s="237">
        <v>266</v>
      </c>
    </row>
    <row r="38" spans="1:14" s="55" customFormat="1" ht="15" customHeight="1">
      <c r="B38" s="62"/>
      <c r="C38" s="62"/>
      <c r="D38" s="170">
        <v>2016</v>
      </c>
      <c r="E38" s="175">
        <f t="shared" si="7"/>
        <v>1341</v>
      </c>
      <c r="F38" s="237">
        <v>224</v>
      </c>
      <c r="G38" s="237">
        <v>55</v>
      </c>
      <c r="H38" s="237">
        <v>127</v>
      </c>
      <c r="I38" s="237">
        <v>733</v>
      </c>
      <c r="J38" s="237">
        <v>5</v>
      </c>
      <c r="K38" s="237">
        <v>197</v>
      </c>
    </row>
    <row r="39" spans="1:14" s="55" customFormat="1" ht="15" customHeight="1">
      <c r="A39" s="125"/>
      <c r="B39" s="62"/>
      <c r="C39" s="62"/>
      <c r="D39" s="170">
        <v>2017</v>
      </c>
      <c r="E39" s="175">
        <f>SUM(F39:K39)</f>
        <v>1320</v>
      </c>
      <c r="F39" s="237">
        <f>258+86</f>
        <v>344</v>
      </c>
      <c r="G39" s="237">
        <f>5+24</f>
        <v>29</v>
      </c>
      <c r="H39" s="237">
        <v>125</v>
      </c>
      <c r="I39" s="237">
        <v>573</v>
      </c>
      <c r="J39" s="237">
        <v>1</v>
      </c>
      <c r="K39" s="237">
        <f>2+38+34+92+1+81</f>
        <v>248</v>
      </c>
    </row>
    <row r="40" spans="1:14" s="55" customFormat="1" ht="8.1" customHeight="1">
      <c r="A40" s="125"/>
      <c r="B40" s="62"/>
      <c r="C40" s="62"/>
      <c r="D40" s="170"/>
      <c r="E40" s="175"/>
      <c r="F40" s="237"/>
      <c r="G40" s="237"/>
      <c r="H40" s="237"/>
      <c r="I40" s="237"/>
      <c r="J40" s="237"/>
      <c r="K40" s="237"/>
    </row>
    <row r="41" spans="1:14" s="55" customFormat="1" ht="15" customHeight="1">
      <c r="B41" s="62" t="s">
        <v>41</v>
      </c>
      <c r="C41" s="62"/>
      <c r="D41" s="170">
        <v>2015</v>
      </c>
      <c r="E41" s="175">
        <f>SUM(F41:K41)</f>
        <v>210</v>
      </c>
      <c r="F41" s="237">
        <v>34</v>
      </c>
      <c r="G41" s="237">
        <v>1</v>
      </c>
      <c r="H41" s="237">
        <v>12</v>
      </c>
      <c r="I41" s="237">
        <v>131</v>
      </c>
      <c r="J41" s="371" t="s">
        <v>51</v>
      </c>
      <c r="K41" s="237">
        <v>32</v>
      </c>
    </row>
    <row r="42" spans="1:14" s="55" customFormat="1" ht="15" customHeight="1">
      <c r="B42" s="62"/>
      <c r="C42" s="62"/>
      <c r="D42" s="170">
        <v>2016</v>
      </c>
      <c r="E42" s="175">
        <f t="shared" ref="E42" si="8">SUM(F42:K42)</f>
        <v>219</v>
      </c>
      <c r="F42" s="237">
        <v>48</v>
      </c>
      <c r="G42" s="237">
        <v>1</v>
      </c>
      <c r="H42" s="237">
        <v>9</v>
      </c>
      <c r="I42" s="237">
        <v>122</v>
      </c>
      <c r="J42" s="237">
        <v>2</v>
      </c>
      <c r="K42" s="237">
        <v>37</v>
      </c>
    </row>
    <row r="43" spans="1:14" s="55" customFormat="1" ht="15" customHeight="1">
      <c r="A43" s="125"/>
      <c r="B43" s="62"/>
      <c r="C43" s="62"/>
      <c r="D43" s="170">
        <v>2017</v>
      </c>
      <c r="E43" s="175">
        <f>SUM(F43:K43)</f>
        <v>218</v>
      </c>
      <c r="F43" s="237">
        <f>59+10</f>
        <v>69</v>
      </c>
      <c r="G43" s="237">
        <f>1+3</f>
        <v>4</v>
      </c>
      <c r="H43" s="237">
        <v>5</v>
      </c>
      <c r="I43" s="237">
        <v>77</v>
      </c>
      <c r="J43" s="371" t="s">
        <v>51</v>
      </c>
      <c r="K43" s="237">
        <v>63</v>
      </c>
    </row>
    <row r="44" spans="1:14" s="55" customFormat="1" ht="8.1" customHeight="1">
      <c r="A44" s="125"/>
      <c r="B44" s="62"/>
      <c r="C44" s="62"/>
      <c r="D44" s="170"/>
      <c r="E44" s="175"/>
      <c r="F44" s="237"/>
      <c r="G44" s="237"/>
      <c r="H44" s="237"/>
      <c r="I44" s="237"/>
      <c r="J44" s="237"/>
      <c r="K44" s="237"/>
    </row>
    <row r="45" spans="1:14" s="55" customFormat="1" ht="15" customHeight="1">
      <c r="B45" s="62" t="s">
        <v>37</v>
      </c>
      <c r="C45" s="62"/>
      <c r="D45" s="170">
        <v>2015</v>
      </c>
      <c r="E45" s="175">
        <f t="shared" ref="E45:E46" si="9">SUM(F45:K45)</f>
        <v>179</v>
      </c>
      <c r="F45" s="237">
        <v>63</v>
      </c>
      <c r="G45" s="237">
        <v>1</v>
      </c>
      <c r="H45" s="237">
        <v>5</v>
      </c>
      <c r="I45" s="237">
        <v>74</v>
      </c>
      <c r="J45" s="237">
        <v>3</v>
      </c>
      <c r="K45" s="237">
        <v>33</v>
      </c>
    </row>
    <row r="46" spans="1:14" s="55" customFormat="1" ht="15" customHeight="1">
      <c r="B46" s="62"/>
      <c r="C46" s="62"/>
      <c r="D46" s="170">
        <v>2016</v>
      </c>
      <c r="E46" s="175">
        <f t="shared" si="9"/>
        <v>151</v>
      </c>
      <c r="F46" s="237">
        <v>41</v>
      </c>
      <c r="G46" s="237">
        <v>1</v>
      </c>
      <c r="H46" s="237">
        <v>5</v>
      </c>
      <c r="I46" s="237">
        <v>76</v>
      </c>
      <c r="J46" s="237">
        <v>2</v>
      </c>
      <c r="K46" s="237">
        <v>26</v>
      </c>
    </row>
    <row r="47" spans="1:14" s="55" customFormat="1" ht="15" customHeight="1">
      <c r="A47" s="125"/>
      <c r="B47" s="62"/>
      <c r="C47" s="62"/>
      <c r="D47" s="170">
        <v>2017</v>
      </c>
      <c r="E47" s="175">
        <f>SUM(F47:K47)</f>
        <v>138</v>
      </c>
      <c r="F47" s="237">
        <f>36+6</f>
        <v>42</v>
      </c>
      <c r="G47" s="371" t="s">
        <v>51</v>
      </c>
      <c r="H47" s="237">
        <v>4</v>
      </c>
      <c r="I47" s="237">
        <v>63</v>
      </c>
      <c r="J47" s="237">
        <v>1</v>
      </c>
      <c r="K47" s="237">
        <f>2+2+7+17</f>
        <v>28</v>
      </c>
    </row>
    <row r="48" spans="1:14" s="55" customFormat="1" ht="8.1" customHeight="1">
      <c r="A48" s="125"/>
      <c r="B48" s="62"/>
      <c r="C48" s="62"/>
      <c r="D48" s="170"/>
      <c r="E48" s="175"/>
      <c r="F48" s="237"/>
      <c r="G48" s="237"/>
      <c r="H48" s="237"/>
      <c r="I48" s="237"/>
      <c r="J48" s="237"/>
      <c r="K48" s="237"/>
    </row>
    <row r="49" spans="1:12" s="125" customFormat="1" ht="15" customHeight="1">
      <c r="A49" s="55"/>
      <c r="B49" s="62" t="s">
        <v>38</v>
      </c>
      <c r="C49" s="62"/>
      <c r="D49" s="170">
        <v>2015</v>
      </c>
      <c r="E49" s="175">
        <f t="shared" ref="E49:E50" si="10">SUM(F49:K49)</f>
        <v>132</v>
      </c>
      <c r="F49" s="237">
        <v>53</v>
      </c>
      <c r="G49" s="371" t="s">
        <v>51</v>
      </c>
      <c r="H49" s="237">
        <v>6</v>
      </c>
      <c r="I49" s="237">
        <v>51</v>
      </c>
      <c r="J49" s="237">
        <v>1</v>
      </c>
      <c r="K49" s="237">
        <v>21</v>
      </c>
    </row>
    <row r="50" spans="1:12" s="125" customFormat="1" ht="15" customHeight="1">
      <c r="A50" s="55"/>
      <c r="B50" s="62"/>
      <c r="C50" s="62"/>
      <c r="D50" s="170">
        <v>2016</v>
      </c>
      <c r="E50" s="175">
        <f t="shared" si="10"/>
        <v>94</v>
      </c>
      <c r="F50" s="237">
        <v>29</v>
      </c>
      <c r="G50" s="237">
        <v>8</v>
      </c>
      <c r="H50" s="237">
        <v>9</v>
      </c>
      <c r="I50" s="237">
        <v>29</v>
      </c>
      <c r="J50" s="371" t="s">
        <v>51</v>
      </c>
      <c r="K50" s="237">
        <v>19</v>
      </c>
    </row>
    <row r="51" spans="1:12" s="125" customFormat="1" ht="15" customHeight="1">
      <c r="B51" s="62"/>
      <c r="C51" s="62"/>
      <c r="D51" s="170">
        <v>2017</v>
      </c>
      <c r="E51" s="175">
        <f>SUM(F51:K51)</f>
        <v>103</v>
      </c>
      <c r="F51" s="237">
        <f>19+7</f>
        <v>26</v>
      </c>
      <c r="G51" s="237">
        <v>4</v>
      </c>
      <c r="H51" s="237">
        <v>5</v>
      </c>
      <c r="I51" s="237">
        <v>45</v>
      </c>
      <c r="J51" s="237">
        <v>1</v>
      </c>
      <c r="K51" s="237">
        <f>2+2+6+12</f>
        <v>22</v>
      </c>
    </row>
    <row r="52" spans="1:12" s="125" customFormat="1" ht="8.1" customHeight="1">
      <c r="A52" s="55"/>
      <c r="B52" s="62"/>
      <c r="C52" s="62"/>
      <c r="D52" s="170"/>
      <c r="E52" s="175"/>
      <c r="F52" s="237"/>
      <c r="G52" s="237"/>
      <c r="H52" s="237"/>
      <c r="I52" s="237"/>
      <c r="J52" s="237"/>
      <c r="K52" s="237"/>
    </row>
    <row r="53" spans="1:12" s="125" customFormat="1" ht="15" customHeight="1">
      <c r="A53" s="55"/>
      <c r="B53" s="62" t="s">
        <v>40</v>
      </c>
      <c r="C53" s="62"/>
      <c r="D53" s="170">
        <v>2015</v>
      </c>
      <c r="E53" s="175">
        <f t="shared" ref="E53:E54" si="11">SUM(F53:K53)</f>
        <v>255</v>
      </c>
      <c r="F53" s="237">
        <v>80</v>
      </c>
      <c r="G53" s="237">
        <v>4</v>
      </c>
      <c r="H53" s="237">
        <v>5</v>
      </c>
      <c r="I53" s="237">
        <v>103</v>
      </c>
      <c r="J53" s="237">
        <v>1</v>
      </c>
      <c r="K53" s="237">
        <v>62</v>
      </c>
    </row>
    <row r="54" spans="1:12" s="125" customFormat="1" ht="15" customHeight="1">
      <c r="A54" s="55"/>
      <c r="B54" s="62"/>
      <c r="C54" s="62"/>
      <c r="D54" s="170">
        <v>2016</v>
      </c>
      <c r="E54" s="175">
        <f t="shared" si="11"/>
        <v>253</v>
      </c>
      <c r="F54" s="237">
        <v>72</v>
      </c>
      <c r="G54" s="237">
        <v>2</v>
      </c>
      <c r="H54" s="237">
        <v>9</v>
      </c>
      <c r="I54" s="237">
        <v>109</v>
      </c>
      <c r="J54" s="237">
        <v>3</v>
      </c>
      <c r="K54" s="237">
        <v>58</v>
      </c>
    </row>
    <row r="55" spans="1:12" s="125" customFormat="1" ht="15" customHeight="1">
      <c r="B55" s="62"/>
      <c r="C55" s="62"/>
      <c r="D55" s="170">
        <v>2017</v>
      </c>
      <c r="E55" s="175">
        <f>SUM(F55:K55)</f>
        <v>182</v>
      </c>
      <c r="F55" s="237">
        <f>40+2</f>
        <v>42</v>
      </c>
      <c r="G55" s="237">
        <v>2</v>
      </c>
      <c r="H55" s="237">
        <v>11</v>
      </c>
      <c r="I55" s="237">
        <v>77</v>
      </c>
      <c r="J55" s="237">
        <v>1</v>
      </c>
      <c r="K55" s="237">
        <f>4+3+17+1+24</f>
        <v>49</v>
      </c>
    </row>
    <row r="56" spans="1:12" s="125" customFormat="1" ht="8.1" customHeight="1">
      <c r="B56" s="62"/>
      <c r="C56" s="62"/>
      <c r="D56" s="170"/>
      <c r="E56" s="175"/>
      <c r="F56" s="237"/>
      <c r="G56" s="237"/>
      <c r="H56" s="237"/>
      <c r="I56" s="237"/>
      <c r="J56" s="237"/>
      <c r="K56" s="237"/>
    </row>
    <row r="57" spans="1:12" s="125" customFormat="1" ht="15" customHeight="1">
      <c r="A57" s="55"/>
      <c r="B57" s="62" t="s">
        <v>39</v>
      </c>
      <c r="C57" s="62"/>
      <c r="D57" s="170">
        <v>2015</v>
      </c>
      <c r="E57" s="175">
        <f t="shared" ref="E57:E58" si="12">SUM(F57:K57)</f>
        <v>341</v>
      </c>
      <c r="F57" s="237">
        <v>74</v>
      </c>
      <c r="G57" s="237">
        <v>8</v>
      </c>
      <c r="H57" s="237">
        <v>43</v>
      </c>
      <c r="I57" s="237">
        <v>163</v>
      </c>
      <c r="J57" s="237">
        <v>2</v>
      </c>
      <c r="K57" s="237">
        <v>51</v>
      </c>
    </row>
    <row r="58" spans="1:12" s="125" customFormat="1" ht="15" customHeight="1">
      <c r="B58" s="62"/>
      <c r="C58" s="62"/>
      <c r="D58" s="170">
        <v>2016</v>
      </c>
      <c r="E58" s="175">
        <f t="shared" si="12"/>
        <v>233</v>
      </c>
      <c r="F58" s="371">
        <v>63</v>
      </c>
      <c r="G58" s="237">
        <v>10</v>
      </c>
      <c r="H58" s="237">
        <v>28</v>
      </c>
      <c r="I58" s="237">
        <v>93</v>
      </c>
      <c r="J58" s="237">
        <v>1</v>
      </c>
      <c r="K58" s="237">
        <v>38</v>
      </c>
    </row>
    <row r="59" spans="1:12" s="125" customFormat="1" ht="15" customHeight="1">
      <c r="B59" s="62"/>
      <c r="C59" s="62"/>
      <c r="D59" s="170">
        <v>2017</v>
      </c>
      <c r="E59" s="175">
        <f>SUM(F59:K59)</f>
        <v>273</v>
      </c>
      <c r="F59" s="237">
        <f>38+13</f>
        <v>51</v>
      </c>
      <c r="G59" s="237">
        <f>1+4</f>
        <v>5</v>
      </c>
      <c r="H59" s="237">
        <v>26</v>
      </c>
      <c r="I59" s="237">
        <v>143</v>
      </c>
      <c r="J59" s="371" t="s">
        <v>51</v>
      </c>
      <c r="K59" s="237">
        <f>8+12+12+2+14</f>
        <v>48</v>
      </c>
    </row>
    <row r="60" spans="1:12" s="7" customFormat="1" ht="8.1" customHeight="1" thickBot="1">
      <c r="A60" s="34"/>
      <c r="B60" s="16"/>
      <c r="C60" s="16"/>
      <c r="D60" s="140"/>
      <c r="E60" s="239"/>
      <c r="F60" s="239"/>
      <c r="G60" s="239"/>
      <c r="H60" s="239"/>
      <c r="I60" s="239"/>
      <c r="J60" s="239"/>
      <c r="K60" s="239"/>
      <c r="L60" s="34"/>
    </row>
    <row r="61" spans="1:12">
      <c r="B61" s="346"/>
      <c r="C61" s="346"/>
      <c r="D61" s="346"/>
      <c r="E61" s="245"/>
      <c r="F61" s="246"/>
      <c r="G61" s="7"/>
      <c r="H61" s="7"/>
      <c r="I61" s="348"/>
      <c r="J61" s="247"/>
      <c r="K61" s="8" t="s">
        <v>104</v>
      </c>
    </row>
    <row r="62" spans="1:12">
      <c r="B62" s="7"/>
      <c r="C62" s="7"/>
      <c r="D62" s="7"/>
      <c r="E62" s="349"/>
      <c r="F62" s="347"/>
      <c r="G62" s="346"/>
      <c r="H62" s="346"/>
      <c r="I62" s="347"/>
      <c r="J62" s="246"/>
      <c r="K62" s="41" t="s">
        <v>1</v>
      </c>
    </row>
  </sheetData>
  <mergeCells count="6">
    <mergeCell ref="B10:C11"/>
    <mergeCell ref="E10:E11"/>
    <mergeCell ref="F10:F11"/>
    <mergeCell ref="G10:I10"/>
    <mergeCell ref="J10:J11"/>
    <mergeCell ref="K10:K11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5" fitToWidth="0" orientation="portrait" r:id="rId1"/>
  <headerFooter>
    <oddHeader xml:space="preserve">&amp;R&amp;"-,Bold"
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N78"/>
  <sheetViews>
    <sheetView showGridLines="0" topLeftCell="A6" zoomScaleNormal="100" zoomScaleSheetLayoutView="100" workbookViewId="0">
      <selection activeCell="AF36" sqref="AF36"/>
    </sheetView>
  </sheetViews>
  <sheetFormatPr defaultRowHeight="15"/>
  <cols>
    <col min="1" max="1" width="1.7109375" style="2" customWidth="1"/>
    <col min="2" max="2" width="10.42578125" style="3" customWidth="1"/>
    <col min="3" max="3" width="6.7109375" style="3" customWidth="1"/>
    <col min="4" max="4" width="10.140625" style="3" customWidth="1"/>
    <col min="5" max="5" width="10.85546875" style="4" customWidth="1"/>
    <col min="6" max="7" width="11.7109375" style="5" customWidth="1"/>
    <col min="8" max="8" width="11.7109375" style="261" customWidth="1"/>
    <col min="9" max="9" width="12.28515625" style="5" customWidth="1"/>
    <col min="10" max="11" width="11.7109375" style="2" customWidth="1"/>
    <col min="12" max="12" width="1.5703125" style="2" customWidth="1"/>
    <col min="13" max="16384" width="9.140625" style="2"/>
  </cols>
  <sheetData>
    <row r="1" spans="1:12" s="30" customFormat="1" ht="12.95" customHeight="1">
      <c r="B1" s="27"/>
      <c r="C1" s="27"/>
      <c r="D1" s="29"/>
      <c r="E1" s="28"/>
      <c r="F1" s="29"/>
      <c r="J1" s="29"/>
      <c r="K1" s="199" t="s">
        <v>188</v>
      </c>
    </row>
    <row r="2" spans="1:12" s="30" customFormat="1" ht="12.95" customHeight="1">
      <c r="B2" s="27"/>
      <c r="C2" s="27"/>
      <c r="D2" s="29"/>
      <c r="E2" s="28"/>
      <c r="F2" s="29"/>
      <c r="J2" s="29"/>
      <c r="K2" s="75" t="s">
        <v>189</v>
      </c>
    </row>
    <row r="3" spans="1:12" s="30" customFormat="1" ht="12" customHeight="1">
      <c r="B3" s="27"/>
      <c r="C3" s="27"/>
      <c r="D3" s="29"/>
      <c r="E3" s="28"/>
      <c r="F3" s="29"/>
      <c r="G3" s="75"/>
      <c r="J3" s="29"/>
    </row>
    <row r="4" spans="1:12" s="30" customFormat="1" ht="12" customHeight="1">
      <c r="B4" s="27"/>
      <c r="C4" s="27"/>
      <c r="D4" s="29"/>
      <c r="E4" s="28"/>
      <c r="F4" s="29"/>
      <c r="G4" s="75"/>
      <c r="J4" s="29"/>
    </row>
    <row r="5" spans="1:12" s="55" customFormat="1" ht="9.9499999999999993" customHeight="1">
      <c r="B5" s="124"/>
      <c r="C5" s="124"/>
      <c r="D5" s="265"/>
      <c r="E5" s="266"/>
      <c r="F5" s="265"/>
      <c r="G5" s="265"/>
      <c r="H5" s="267"/>
      <c r="I5" s="265"/>
      <c r="J5" s="123"/>
    </row>
    <row r="6" spans="1:12" s="55" customFormat="1" ht="15" customHeight="1">
      <c r="B6" s="70" t="s">
        <v>234</v>
      </c>
      <c r="C6" s="71" t="s">
        <v>241</v>
      </c>
      <c r="D6" s="265"/>
      <c r="E6" s="266"/>
      <c r="F6" s="71"/>
      <c r="G6" s="71"/>
      <c r="H6" s="71"/>
      <c r="I6" s="71"/>
      <c r="J6" s="88"/>
      <c r="K6" s="71"/>
      <c r="L6" s="241"/>
    </row>
    <row r="7" spans="1:12" s="55" customFormat="1" ht="18" customHeight="1">
      <c r="B7" s="89" t="s">
        <v>236</v>
      </c>
      <c r="C7" s="95" t="s">
        <v>242</v>
      </c>
      <c r="D7" s="265"/>
      <c r="E7" s="266"/>
      <c r="F7" s="95"/>
      <c r="G7" s="95"/>
      <c r="H7" s="95"/>
      <c r="I7" s="95"/>
      <c r="J7" s="339"/>
      <c r="K7" s="95"/>
      <c r="L7" s="243"/>
    </row>
    <row r="8" spans="1:12" s="55" customFormat="1" ht="8.1" customHeight="1" thickBot="1">
      <c r="B8" s="282"/>
      <c r="C8" s="282"/>
      <c r="D8" s="311"/>
      <c r="E8" s="310"/>
      <c r="F8" s="311"/>
      <c r="G8" s="311"/>
      <c r="H8" s="312"/>
      <c r="I8" s="311"/>
      <c r="J8" s="172"/>
      <c r="K8" s="125"/>
    </row>
    <row r="9" spans="1:12" s="55" customFormat="1" ht="8.1" customHeight="1" thickTop="1">
      <c r="A9" s="268"/>
      <c r="B9" s="270"/>
      <c r="C9" s="270"/>
      <c r="D9" s="273"/>
      <c r="E9" s="313"/>
      <c r="F9" s="273"/>
      <c r="G9" s="273"/>
      <c r="H9" s="314"/>
      <c r="I9" s="273"/>
      <c r="J9" s="272"/>
      <c r="K9" s="268"/>
      <c r="L9" s="268"/>
    </row>
    <row r="10" spans="1:12" s="55" customFormat="1" ht="30.75" customHeight="1">
      <c r="A10" s="249"/>
      <c r="B10" s="315" t="s">
        <v>238</v>
      </c>
      <c r="C10" s="315"/>
      <c r="D10" s="350" t="s">
        <v>100</v>
      </c>
      <c r="E10" s="259" t="s">
        <v>95</v>
      </c>
      <c r="F10" s="259" t="s">
        <v>239</v>
      </c>
      <c r="G10" s="255" t="s">
        <v>218</v>
      </c>
      <c r="H10" s="255"/>
      <c r="I10" s="255"/>
      <c r="J10" s="256" t="s">
        <v>219</v>
      </c>
      <c r="K10" s="259" t="s">
        <v>220</v>
      </c>
      <c r="L10" s="249"/>
    </row>
    <row r="11" spans="1:12" s="111" customFormat="1" ht="55.5" customHeight="1">
      <c r="A11" s="257"/>
      <c r="B11" s="317"/>
      <c r="C11" s="317"/>
      <c r="D11" s="340"/>
      <c r="E11" s="318"/>
      <c r="F11" s="318"/>
      <c r="G11" s="319" t="s">
        <v>221</v>
      </c>
      <c r="H11" s="319" t="s">
        <v>222</v>
      </c>
      <c r="I11" s="319" t="s">
        <v>240</v>
      </c>
      <c r="J11" s="260"/>
      <c r="K11" s="318"/>
      <c r="L11" s="257"/>
    </row>
    <row r="12" spans="1:12" s="6" customFormat="1" ht="8.1" customHeight="1">
      <c r="A12" s="24"/>
      <c r="B12" s="377"/>
      <c r="C12" s="377"/>
      <c r="D12" s="378"/>
      <c r="E12" s="379"/>
      <c r="F12" s="380"/>
      <c r="G12" s="379"/>
      <c r="H12" s="379"/>
      <c r="I12" s="379"/>
      <c r="J12" s="380"/>
      <c r="K12" s="379"/>
    </row>
    <row r="13" spans="1:12" s="381" customFormat="1" ht="12.95" customHeight="1">
      <c r="A13" s="111"/>
      <c r="B13" s="68" t="s">
        <v>182</v>
      </c>
      <c r="C13" s="133"/>
      <c r="D13" s="69">
        <v>2015</v>
      </c>
      <c r="E13" s="233">
        <f>SUM(F13:K13)</f>
        <v>4940</v>
      </c>
      <c r="F13" s="233">
        <v>1134</v>
      </c>
      <c r="G13" s="233">
        <v>165</v>
      </c>
      <c r="H13" s="233">
        <v>399</v>
      </c>
      <c r="I13" s="233">
        <v>2203</v>
      </c>
      <c r="J13" s="233">
        <v>73</v>
      </c>
      <c r="K13" s="233">
        <v>966</v>
      </c>
    </row>
    <row r="14" spans="1:12" s="381" customFormat="1" ht="12.95" customHeight="1">
      <c r="A14" s="111"/>
      <c r="B14" s="133"/>
      <c r="C14" s="133"/>
      <c r="D14" s="69">
        <v>2016</v>
      </c>
      <c r="E14" s="233">
        <f t="shared" ref="E14:E15" si="0">SUM(F14:K14)</f>
        <v>4546</v>
      </c>
      <c r="F14" s="233">
        <v>915</v>
      </c>
      <c r="G14" s="233">
        <v>118</v>
      </c>
      <c r="H14" s="233">
        <v>386</v>
      </c>
      <c r="I14" s="233">
        <v>2112</v>
      </c>
      <c r="J14" s="233">
        <v>60</v>
      </c>
      <c r="K14" s="233">
        <v>955</v>
      </c>
    </row>
    <row r="15" spans="1:12" s="381" customFormat="1" ht="12.95" customHeight="1">
      <c r="A15" s="111"/>
      <c r="B15" s="133"/>
      <c r="C15" s="133"/>
      <c r="D15" s="69">
        <v>2017</v>
      </c>
      <c r="E15" s="233">
        <f t="shared" si="0"/>
        <v>4186</v>
      </c>
      <c r="F15" s="233">
        <v>859</v>
      </c>
      <c r="G15" s="233">
        <v>81</v>
      </c>
      <c r="H15" s="233">
        <v>322</v>
      </c>
      <c r="I15" s="233">
        <v>1913</v>
      </c>
      <c r="J15" s="233">
        <v>10</v>
      </c>
      <c r="K15" s="233">
        <v>1001</v>
      </c>
    </row>
    <row r="16" spans="1:12" s="18" customFormat="1" ht="8.1" customHeight="1">
      <c r="A16" s="55"/>
      <c r="B16" s="133"/>
      <c r="C16" s="133"/>
      <c r="D16" s="69"/>
      <c r="E16" s="233"/>
      <c r="F16" s="233"/>
      <c r="G16" s="233"/>
      <c r="H16" s="233"/>
      <c r="I16" s="233"/>
      <c r="J16" s="233"/>
      <c r="K16" s="233"/>
    </row>
    <row r="17" spans="1:14" s="19" customFormat="1" ht="12.95" customHeight="1">
      <c r="A17" s="55"/>
      <c r="B17" s="62" t="s">
        <v>69</v>
      </c>
      <c r="C17" s="91"/>
      <c r="D17" s="170">
        <v>2015</v>
      </c>
      <c r="E17" s="237">
        <f t="shared" ref="E17:E19" si="1">SUM(F17:K17)</f>
        <v>107</v>
      </c>
      <c r="F17" s="237">
        <v>32</v>
      </c>
      <c r="G17" s="237">
        <v>2</v>
      </c>
      <c r="H17" s="237">
        <v>7</v>
      </c>
      <c r="I17" s="237">
        <v>39</v>
      </c>
      <c r="J17" s="237">
        <v>1</v>
      </c>
      <c r="K17" s="237">
        <v>26</v>
      </c>
    </row>
    <row r="18" spans="1:14" s="19" customFormat="1" ht="12.95" customHeight="1">
      <c r="A18" s="125"/>
      <c r="B18" s="62"/>
      <c r="C18" s="91"/>
      <c r="D18" s="170">
        <v>2016</v>
      </c>
      <c r="E18" s="237">
        <f t="shared" si="1"/>
        <v>92</v>
      </c>
      <c r="F18" s="237">
        <v>27</v>
      </c>
      <c r="G18" s="237">
        <v>1</v>
      </c>
      <c r="H18" s="237">
        <v>9</v>
      </c>
      <c r="I18" s="237">
        <v>35</v>
      </c>
      <c r="J18" s="237">
        <v>1</v>
      </c>
      <c r="K18" s="237">
        <v>19</v>
      </c>
    </row>
    <row r="19" spans="1:14" s="19" customFormat="1" ht="12.95" customHeight="1">
      <c r="A19" s="125"/>
      <c r="B19" s="62"/>
      <c r="C19" s="91"/>
      <c r="D19" s="170">
        <v>2017</v>
      </c>
      <c r="E19" s="237">
        <f t="shared" si="1"/>
        <v>68</v>
      </c>
      <c r="F19" s="237">
        <f>12+5</f>
        <v>17</v>
      </c>
      <c r="G19" s="237">
        <v>4</v>
      </c>
      <c r="H19" s="237">
        <v>4</v>
      </c>
      <c r="I19" s="237">
        <v>23</v>
      </c>
      <c r="J19" s="237">
        <v>1</v>
      </c>
      <c r="K19" s="237">
        <f>1+4+4+10</f>
        <v>19</v>
      </c>
    </row>
    <row r="20" spans="1:14" s="19" customFormat="1" ht="8.1" customHeight="1">
      <c r="A20" s="125"/>
      <c r="B20" s="62"/>
      <c r="C20" s="91"/>
      <c r="D20" s="170"/>
      <c r="E20" s="237"/>
      <c r="F20" s="237"/>
      <c r="G20" s="237"/>
      <c r="H20" s="237"/>
      <c r="I20" s="237"/>
      <c r="J20" s="237"/>
      <c r="K20" s="237"/>
    </row>
    <row r="21" spans="1:14" s="19" customFormat="1" ht="12.95" customHeight="1">
      <c r="A21" s="55"/>
      <c r="B21" s="62" t="s">
        <v>70</v>
      </c>
      <c r="C21" s="91"/>
      <c r="D21" s="170">
        <v>2015</v>
      </c>
      <c r="E21" s="237">
        <f t="shared" ref="E21:E23" si="2">SUM(F21:K21)</f>
        <v>77</v>
      </c>
      <c r="F21" s="237">
        <v>13</v>
      </c>
      <c r="G21" s="371" t="s">
        <v>51</v>
      </c>
      <c r="H21" s="237">
        <v>2</v>
      </c>
      <c r="I21" s="237">
        <v>41</v>
      </c>
      <c r="J21" s="371" t="s">
        <v>51</v>
      </c>
      <c r="K21" s="237">
        <v>21</v>
      </c>
    </row>
    <row r="22" spans="1:14" s="19" customFormat="1" ht="12.95" customHeight="1">
      <c r="A22" s="55"/>
      <c r="B22" s="62"/>
      <c r="C22" s="91"/>
      <c r="D22" s="170">
        <v>2016</v>
      </c>
      <c r="E22" s="237">
        <f t="shared" si="2"/>
        <v>71</v>
      </c>
      <c r="F22" s="237">
        <v>10</v>
      </c>
      <c r="G22" s="237">
        <v>1</v>
      </c>
      <c r="H22" s="237">
        <v>8</v>
      </c>
      <c r="I22" s="237">
        <v>36</v>
      </c>
      <c r="J22" s="237">
        <v>1</v>
      </c>
      <c r="K22" s="237">
        <v>15</v>
      </c>
    </row>
    <row r="23" spans="1:14" s="105" customFormat="1" ht="12.95" customHeight="1">
      <c r="A23" s="125"/>
      <c r="B23" s="62"/>
      <c r="C23" s="91"/>
      <c r="D23" s="170">
        <v>2017</v>
      </c>
      <c r="E23" s="237">
        <f t="shared" si="2"/>
        <v>62</v>
      </c>
      <c r="F23" s="237">
        <f>10+2</f>
        <v>12</v>
      </c>
      <c r="G23" s="237">
        <v>1</v>
      </c>
      <c r="H23" s="237">
        <v>6</v>
      </c>
      <c r="I23" s="237">
        <v>27</v>
      </c>
      <c r="J23" s="371" t="s">
        <v>51</v>
      </c>
      <c r="K23" s="237">
        <f>4+2+2+1+7</f>
        <v>16</v>
      </c>
      <c r="L23" s="19"/>
      <c r="M23" s="19"/>
      <c r="N23" s="19"/>
    </row>
    <row r="24" spans="1:14" s="105" customFormat="1" ht="8.1" customHeight="1">
      <c r="A24" s="125"/>
      <c r="B24" s="62"/>
      <c r="C24" s="91"/>
      <c r="D24" s="170"/>
      <c r="E24" s="237"/>
      <c r="F24" s="237"/>
      <c r="G24" s="237"/>
      <c r="H24" s="237"/>
      <c r="I24" s="237"/>
      <c r="J24" s="237"/>
      <c r="K24" s="237"/>
      <c r="L24" s="19"/>
      <c r="M24" s="19"/>
      <c r="N24" s="19"/>
    </row>
    <row r="25" spans="1:14" s="19" customFormat="1" ht="12.95" customHeight="1">
      <c r="A25" s="125"/>
      <c r="B25" s="62" t="s">
        <v>46</v>
      </c>
      <c r="C25" s="91"/>
      <c r="D25" s="170">
        <v>2015</v>
      </c>
      <c r="E25" s="237">
        <f t="shared" ref="E25:E27" si="3">SUM(F25:K25)</f>
        <v>437</v>
      </c>
      <c r="F25" s="237">
        <v>143</v>
      </c>
      <c r="G25" s="237">
        <v>4</v>
      </c>
      <c r="H25" s="237">
        <v>14</v>
      </c>
      <c r="I25" s="237">
        <v>155</v>
      </c>
      <c r="J25" s="237">
        <v>17</v>
      </c>
      <c r="K25" s="237">
        <v>104</v>
      </c>
    </row>
    <row r="26" spans="1:14" s="19" customFormat="1" ht="12.95" customHeight="1">
      <c r="A26" s="55"/>
      <c r="B26" s="62"/>
      <c r="C26" s="91"/>
      <c r="D26" s="170">
        <v>2016</v>
      </c>
      <c r="E26" s="237">
        <f t="shared" si="3"/>
        <v>462</v>
      </c>
      <c r="F26" s="237">
        <v>157</v>
      </c>
      <c r="G26" s="237">
        <v>9</v>
      </c>
      <c r="H26" s="237">
        <v>25</v>
      </c>
      <c r="I26" s="237">
        <v>164</v>
      </c>
      <c r="J26" s="237">
        <v>10</v>
      </c>
      <c r="K26" s="237">
        <v>97</v>
      </c>
    </row>
    <row r="27" spans="1:14" s="19" customFormat="1" ht="12.95" customHeight="1">
      <c r="A27" s="55"/>
      <c r="B27" s="62"/>
      <c r="C27" s="91"/>
      <c r="D27" s="170">
        <v>2017</v>
      </c>
      <c r="E27" s="237">
        <f t="shared" si="3"/>
        <v>432</v>
      </c>
      <c r="F27" s="237">
        <f>97+36</f>
        <v>133</v>
      </c>
      <c r="G27" s="237">
        <v>4</v>
      </c>
      <c r="H27" s="237">
        <v>18</v>
      </c>
      <c r="I27" s="237">
        <v>112</v>
      </c>
      <c r="J27" s="237">
        <v>2</v>
      </c>
      <c r="K27" s="237">
        <f>2+14+11+52+1+83</f>
        <v>163</v>
      </c>
    </row>
    <row r="28" spans="1:14" s="19" customFormat="1" ht="8.1" customHeight="1">
      <c r="A28" s="55"/>
      <c r="B28" s="62"/>
      <c r="C28" s="91"/>
      <c r="D28" s="170"/>
      <c r="E28" s="55"/>
      <c r="F28" s="55"/>
      <c r="G28" s="55"/>
      <c r="H28" s="55"/>
      <c r="I28" s="55"/>
      <c r="J28" s="55"/>
      <c r="K28" s="55"/>
    </row>
    <row r="29" spans="1:14" s="19" customFormat="1" ht="12.95" customHeight="1">
      <c r="A29" s="55"/>
      <c r="B29" s="62" t="s">
        <v>71</v>
      </c>
      <c r="C29" s="91"/>
      <c r="D29" s="170">
        <v>2015</v>
      </c>
      <c r="E29" s="237">
        <f t="shared" ref="E29:E31" si="4">SUM(F29:K29)</f>
        <v>1889</v>
      </c>
      <c r="F29" s="237">
        <v>487</v>
      </c>
      <c r="G29" s="237">
        <v>115</v>
      </c>
      <c r="H29" s="237">
        <v>239</v>
      </c>
      <c r="I29" s="237">
        <v>730</v>
      </c>
      <c r="J29" s="237">
        <v>20</v>
      </c>
      <c r="K29" s="237">
        <v>298</v>
      </c>
    </row>
    <row r="30" spans="1:14" s="19" customFormat="1" ht="12.95" customHeight="1">
      <c r="A30" s="55"/>
      <c r="B30" s="62"/>
      <c r="C30" s="91"/>
      <c r="D30" s="170">
        <v>2016</v>
      </c>
      <c r="E30" s="237">
        <f t="shared" si="4"/>
        <v>1693</v>
      </c>
      <c r="F30" s="237">
        <v>350</v>
      </c>
      <c r="G30" s="237">
        <v>60</v>
      </c>
      <c r="H30" s="237">
        <v>202</v>
      </c>
      <c r="I30" s="237">
        <v>752</v>
      </c>
      <c r="J30" s="237">
        <v>6</v>
      </c>
      <c r="K30" s="237">
        <v>323</v>
      </c>
    </row>
    <row r="31" spans="1:14" s="19" customFormat="1" ht="12.95" customHeight="1">
      <c r="A31" s="125"/>
      <c r="B31" s="62"/>
      <c r="C31" s="91"/>
      <c r="D31" s="170">
        <v>2017</v>
      </c>
      <c r="E31" s="237">
        <f t="shared" si="4"/>
        <v>1631</v>
      </c>
      <c r="F31" s="237">
        <f>209+85</f>
        <v>294</v>
      </c>
      <c r="G31" s="237">
        <f>5+43</f>
        <v>48</v>
      </c>
      <c r="H31" s="237">
        <v>183</v>
      </c>
      <c r="I31" s="237">
        <v>787</v>
      </c>
      <c r="J31" s="237">
        <v>1</v>
      </c>
      <c r="K31" s="237">
        <f>2+29+101+99+87</f>
        <v>318</v>
      </c>
    </row>
    <row r="32" spans="1:14" s="19" customFormat="1" ht="8.1" customHeight="1">
      <c r="A32" s="125"/>
      <c r="B32" s="62"/>
      <c r="C32" s="91"/>
      <c r="D32" s="170"/>
      <c r="E32" s="237"/>
      <c r="F32" s="237"/>
      <c r="G32" s="237"/>
      <c r="H32" s="237"/>
      <c r="I32" s="237"/>
      <c r="J32" s="237"/>
      <c r="K32" s="237"/>
    </row>
    <row r="33" spans="1:11" s="19" customFormat="1" ht="12.95" customHeight="1">
      <c r="A33" s="55"/>
      <c r="B33" s="62" t="s">
        <v>48</v>
      </c>
      <c r="C33" s="91"/>
      <c r="D33" s="170">
        <v>2015</v>
      </c>
      <c r="E33" s="237">
        <f t="shared" ref="E33:E35" si="5">SUM(F33:K33)</f>
        <v>165</v>
      </c>
      <c r="F33" s="371">
        <v>35</v>
      </c>
      <c r="G33" s="371">
        <v>11</v>
      </c>
      <c r="H33" s="237">
        <v>15</v>
      </c>
      <c r="I33" s="371">
        <v>42</v>
      </c>
      <c r="J33" s="237">
        <v>1</v>
      </c>
      <c r="K33" s="237">
        <v>61</v>
      </c>
    </row>
    <row r="34" spans="1:11" s="19" customFormat="1" ht="12.95" customHeight="1">
      <c r="A34" s="55"/>
      <c r="B34" s="62"/>
      <c r="C34" s="91"/>
      <c r="D34" s="170">
        <v>2016</v>
      </c>
      <c r="E34" s="237">
        <f t="shared" si="5"/>
        <v>154</v>
      </c>
      <c r="F34" s="237">
        <v>32</v>
      </c>
      <c r="G34" s="237">
        <v>6</v>
      </c>
      <c r="H34" s="237">
        <v>13</v>
      </c>
      <c r="I34" s="237">
        <v>57</v>
      </c>
      <c r="J34" s="237">
        <v>5</v>
      </c>
      <c r="K34" s="237">
        <v>41</v>
      </c>
    </row>
    <row r="35" spans="1:11" s="19" customFormat="1" ht="12.95" customHeight="1">
      <c r="A35" s="125"/>
      <c r="B35" s="62"/>
      <c r="C35" s="91"/>
      <c r="D35" s="170">
        <v>2017</v>
      </c>
      <c r="E35" s="237">
        <f t="shared" si="5"/>
        <v>146</v>
      </c>
      <c r="F35" s="371">
        <f>16+16</f>
        <v>32</v>
      </c>
      <c r="G35" s="371">
        <v>1</v>
      </c>
      <c r="H35" s="237">
        <v>13</v>
      </c>
      <c r="I35" s="371">
        <v>58</v>
      </c>
      <c r="J35" s="237">
        <v>1</v>
      </c>
      <c r="K35" s="237">
        <f>7+3+14+17</f>
        <v>41</v>
      </c>
    </row>
    <row r="36" spans="1:11" s="19" customFormat="1" ht="8.1" customHeight="1">
      <c r="A36" s="125"/>
      <c r="B36" s="62"/>
      <c r="C36" s="91"/>
      <c r="D36" s="170"/>
      <c r="E36" s="237"/>
      <c r="F36" s="371"/>
      <c r="G36" s="371"/>
      <c r="H36" s="237"/>
      <c r="I36" s="371"/>
      <c r="J36" s="237"/>
      <c r="K36" s="237"/>
    </row>
    <row r="37" spans="1:11" s="19" customFormat="1" ht="12.95" customHeight="1">
      <c r="A37" s="55"/>
      <c r="B37" s="62" t="s">
        <v>44</v>
      </c>
      <c r="C37" s="91"/>
      <c r="D37" s="170">
        <v>2015</v>
      </c>
      <c r="E37" s="237">
        <f t="shared" ref="E37:E39" si="6">SUM(F37:K37)</f>
        <v>187</v>
      </c>
      <c r="F37" s="237">
        <v>29</v>
      </c>
      <c r="G37" s="237">
        <v>1</v>
      </c>
      <c r="H37" s="237">
        <v>4</v>
      </c>
      <c r="I37" s="237">
        <v>129</v>
      </c>
      <c r="J37" s="237">
        <v>5</v>
      </c>
      <c r="K37" s="237">
        <v>19</v>
      </c>
    </row>
    <row r="38" spans="1:11" s="19" customFormat="1" ht="12.95" customHeight="1">
      <c r="A38" s="55"/>
      <c r="B38" s="62"/>
      <c r="C38" s="91"/>
      <c r="D38" s="170">
        <v>2016</v>
      </c>
      <c r="E38" s="237">
        <f t="shared" si="6"/>
        <v>178</v>
      </c>
      <c r="F38" s="237">
        <v>15</v>
      </c>
      <c r="G38" s="237">
        <v>3</v>
      </c>
      <c r="H38" s="237">
        <v>10</v>
      </c>
      <c r="I38" s="237">
        <v>120</v>
      </c>
      <c r="J38" s="237">
        <v>3</v>
      </c>
      <c r="K38" s="237">
        <v>27</v>
      </c>
    </row>
    <row r="39" spans="1:11" s="19" customFormat="1" ht="12.95" customHeight="1">
      <c r="A39" s="125"/>
      <c r="B39" s="62"/>
      <c r="C39" s="91"/>
      <c r="D39" s="170">
        <v>2017</v>
      </c>
      <c r="E39" s="237">
        <f t="shared" si="6"/>
        <v>156</v>
      </c>
      <c r="F39" s="237">
        <f>33+5</f>
        <v>38</v>
      </c>
      <c r="G39" s="237">
        <f>1+1</f>
        <v>2</v>
      </c>
      <c r="H39" s="237">
        <v>9</v>
      </c>
      <c r="I39" s="237">
        <v>86</v>
      </c>
      <c r="J39" s="237">
        <v>2</v>
      </c>
      <c r="K39" s="237">
        <f>1+11+7</f>
        <v>19</v>
      </c>
    </row>
    <row r="40" spans="1:11" s="19" customFormat="1" ht="8.1" customHeight="1">
      <c r="A40" s="125"/>
      <c r="B40" s="62"/>
      <c r="C40" s="91"/>
      <c r="D40" s="170"/>
      <c r="E40" s="237"/>
      <c r="F40" s="237"/>
      <c r="G40" s="237"/>
      <c r="H40" s="237"/>
      <c r="I40" s="237"/>
      <c r="J40" s="237"/>
      <c r="K40" s="237"/>
    </row>
    <row r="41" spans="1:11" s="19" customFormat="1" ht="12.95" customHeight="1">
      <c r="A41" s="55"/>
      <c r="B41" s="62" t="s">
        <v>45</v>
      </c>
      <c r="C41" s="91"/>
      <c r="D41" s="170">
        <v>2015</v>
      </c>
      <c r="E41" s="237">
        <f t="shared" ref="E41:E43" si="7">SUM(F41:K41)</f>
        <v>174</v>
      </c>
      <c r="F41" s="237">
        <v>38</v>
      </c>
      <c r="G41" s="237">
        <v>2</v>
      </c>
      <c r="H41" s="237">
        <v>8</v>
      </c>
      <c r="I41" s="237">
        <v>80</v>
      </c>
      <c r="J41" s="237">
        <v>8</v>
      </c>
      <c r="K41" s="237">
        <v>38</v>
      </c>
    </row>
    <row r="42" spans="1:11" s="19" customFormat="1" ht="12.95" customHeight="1">
      <c r="A42" s="55"/>
      <c r="B42" s="62"/>
      <c r="C42" s="91"/>
      <c r="D42" s="170">
        <v>2016</v>
      </c>
      <c r="E42" s="237">
        <f t="shared" si="7"/>
        <v>144</v>
      </c>
      <c r="F42" s="237">
        <v>38</v>
      </c>
      <c r="G42" s="237">
        <v>1</v>
      </c>
      <c r="H42" s="237">
        <v>9</v>
      </c>
      <c r="I42" s="237">
        <v>65</v>
      </c>
      <c r="J42" s="237">
        <v>1</v>
      </c>
      <c r="K42" s="237">
        <v>30</v>
      </c>
    </row>
    <row r="43" spans="1:11" s="19" customFormat="1" ht="12.95" customHeight="1">
      <c r="A43" s="125"/>
      <c r="B43" s="62"/>
      <c r="C43" s="91"/>
      <c r="D43" s="170">
        <v>2017</v>
      </c>
      <c r="E43" s="237">
        <f t="shared" si="7"/>
        <v>118</v>
      </c>
      <c r="F43" s="237">
        <f>19+3</f>
        <v>22</v>
      </c>
      <c r="G43" s="371" t="s">
        <v>51</v>
      </c>
      <c r="H43" s="237">
        <v>5</v>
      </c>
      <c r="I43" s="237">
        <v>66</v>
      </c>
      <c r="J43" s="237">
        <v>2</v>
      </c>
      <c r="K43" s="237">
        <f>2+1+11+9</f>
        <v>23</v>
      </c>
    </row>
    <row r="44" spans="1:11" s="19" customFormat="1" ht="8.1" customHeight="1">
      <c r="A44" s="125"/>
      <c r="B44" s="62"/>
      <c r="C44" s="91"/>
      <c r="D44" s="170"/>
      <c r="E44" s="237"/>
      <c r="F44" s="237"/>
      <c r="G44" s="237"/>
      <c r="H44" s="237"/>
      <c r="I44" s="237"/>
      <c r="J44" s="237"/>
      <c r="K44" s="237"/>
    </row>
    <row r="45" spans="1:11" s="19" customFormat="1" ht="12.95" customHeight="1">
      <c r="A45" s="55"/>
      <c r="B45" s="62" t="s">
        <v>43</v>
      </c>
      <c r="C45" s="91"/>
      <c r="D45" s="170">
        <v>2015</v>
      </c>
      <c r="E45" s="237">
        <f t="shared" ref="E45:E47" si="8">SUM(F45:K45)</f>
        <v>583</v>
      </c>
      <c r="F45" s="237">
        <v>72</v>
      </c>
      <c r="G45" s="237">
        <v>8</v>
      </c>
      <c r="H45" s="237">
        <v>43</v>
      </c>
      <c r="I45" s="237">
        <v>388</v>
      </c>
      <c r="J45" s="371" t="s">
        <v>51</v>
      </c>
      <c r="K45" s="237">
        <v>72</v>
      </c>
    </row>
    <row r="46" spans="1:11" s="19" customFormat="1" ht="12.95" customHeight="1">
      <c r="A46" s="55"/>
      <c r="B46" s="62"/>
      <c r="C46" s="91"/>
      <c r="D46" s="170">
        <v>2016</v>
      </c>
      <c r="E46" s="237">
        <f t="shared" si="8"/>
        <v>574</v>
      </c>
      <c r="F46" s="237">
        <v>60</v>
      </c>
      <c r="G46" s="237">
        <v>9</v>
      </c>
      <c r="H46" s="237">
        <v>43</v>
      </c>
      <c r="I46" s="237">
        <v>373</v>
      </c>
      <c r="J46" s="237">
        <v>1</v>
      </c>
      <c r="K46" s="237">
        <v>88</v>
      </c>
    </row>
    <row r="47" spans="1:11" s="19" customFormat="1" ht="12.95" customHeight="1">
      <c r="A47" s="125"/>
      <c r="B47" s="62"/>
      <c r="C47" s="91"/>
      <c r="D47" s="170">
        <v>2017</v>
      </c>
      <c r="E47" s="237">
        <f t="shared" si="8"/>
        <v>506</v>
      </c>
      <c r="F47" s="237">
        <f>60+22</f>
        <v>82</v>
      </c>
      <c r="G47" s="237">
        <v>4</v>
      </c>
      <c r="H47" s="237">
        <v>31</v>
      </c>
      <c r="I47" s="237">
        <v>301</v>
      </c>
      <c r="J47" s="237">
        <v>1</v>
      </c>
      <c r="K47" s="237">
        <f>1+6+4+28+6+42</f>
        <v>87</v>
      </c>
    </row>
    <row r="48" spans="1:11" s="19" customFormat="1" ht="8.1" customHeight="1">
      <c r="A48" s="125"/>
      <c r="B48" s="62"/>
      <c r="C48" s="91"/>
      <c r="D48" s="170"/>
      <c r="E48" s="237"/>
      <c r="F48" s="237"/>
      <c r="G48" s="237"/>
      <c r="H48" s="237"/>
      <c r="I48" s="237"/>
      <c r="J48" s="237"/>
      <c r="K48" s="237"/>
    </row>
    <row r="49" spans="1:11" s="18" customFormat="1" ht="12.95" customHeight="1">
      <c r="A49" s="55"/>
      <c r="B49" s="62" t="s">
        <v>72</v>
      </c>
      <c r="C49" s="91"/>
      <c r="D49" s="170">
        <v>2015</v>
      </c>
      <c r="E49" s="237">
        <f t="shared" ref="E49:E51" si="9">SUM(F49:K49)</f>
        <v>31</v>
      </c>
      <c r="F49" s="237">
        <v>13</v>
      </c>
      <c r="G49" s="371" t="s">
        <v>51</v>
      </c>
      <c r="H49" s="371" t="s">
        <v>51</v>
      </c>
      <c r="I49" s="237">
        <v>9</v>
      </c>
      <c r="J49" s="237">
        <v>1</v>
      </c>
      <c r="K49" s="237">
        <v>8</v>
      </c>
    </row>
    <row r="50" spans="1:11" s="18" customFormat="1" ht="12.95" customHeight="1">
      <c r="A50" s="55"/>
      <c r="B50" s="62"/>
      <c r="C50" s="91"/>
      <c r="D50" s="170">
        <v>2016</v>
      </c>
      <c r="E50" s="237">
        <f t="shared" si="9"/>
        <v>26</v>
      </c>
      <c r="F50" s="237">
        <v>3</v>
      </c>
      <c r="G50" s="371" t="s">
        <v>51</v>
      </c>
      <c r="H50" s="371" t="s">
        <v>51</v>
      </c>
      <c r="I50" s="237">
        <v>14</v>
      </c>
      <c r="J50" s="371" t="s">
        <v>51</v>
      </c>
      <c r="K50" s="237">
        <v>9</v>
      </c>
    </row>
    <row r="51" spans="1:11" s="18" customFormat="1" ht="12.95" customHeight="1">
      <c r="A51" s="125"/>
      <c r="B51" s="62"/>
      <c r="C51" s="91"/>
      <c r="D51" s="170">
        <v>2017</v>
      </c>
      <c r="E51" s="237">
        <f t="shared" si="9"/>
        <v>13</v>
      </c>
      <c r="F51" s="371" t="s">
        <v>51</v>
      </c>
      <c r="G51" s="371" t="s">
        <v>51</v>
      </c>
      <c r="H51" s="371" t="s">
        <v>51</v>
      </c>
      <c r="I51" s="237">
        <v>10</v>
      </c>
      <c r="J51" s="371" t="s">
        <v>51</v>
      </c>
      <c r="K51" s="237">
        <f>1+2</f>
        <v>3</v>
      </c>
    </row>
    <row r="52" spans="1:11" s="18" customFormat="1" ht="8.1" customHeight="1">
      <c r="A52" s="125"/>
      <c r="B52" s="62"/>
      <c r="C52" s="91"/>
      <c r="D52" s="170"/>
      <c r="E52" s="237"/>
      <c r="F52" s="237"/>
      <c r="G52" s="237"/>
      <c r="H52" s="237"/>
      <c r="I52" s="237"/>
      <c r="J52" s="237"/>
      <c r="K52" s="237"/>
    </row>
    <row r="53" spans="1:11" s="18" customFormat="1" ht="12.95" customHeight="1">
      <c r="A53" s="55"/>
      <c r="B53" s="62" t="s">
        <v>47</v>
      </c>
      <c r="C53" s="91"/>
      <c r="D53" s="170">
        <v>2015</v>
      </c>
      <c r="E53" s="237">
        <f t="shared" ref="E53:E55" si="10">SUM(F53:K53)</f>
        <v>216</v>
      </c>
      <c r="F53" s="237">
        <v>79</v>
      </c>
      <c r="G53" s="237">
        <v>1</v>
      </c>
      <c r="H53" s="237">
        <v>6</v>
      </c>
      <c r="I53" s="237">
        <v>80</v>
      </c>
      <c r="J53" s="237">
        <v>2</v>
      </c>
      <c r="K53" s="237">
        <v>48</v>
      </c>
    </row>
    <row r="54" spans="1:11" s="18" customFormat="1" ht="12.95" customHeight="1">
      <c r="A54" s="55"/>
      <c r="B54" s="62"/>
      <c r="C54" s="91"/>
      <c r="D54" s="170">
        <v>2016</v>
      </c>
      <c r="E54" s="237">
        <f t="shared" si="10"/>
        <v>187</v>
      </c>
      <c r="F54" s="237">
        <v>69</v>
      </c>
      <c r="G54" s="371" t="s">
        <v>51</v>
      </c>
      <c r="H54" s="237">
        <v>2</v>
      </c>
      <c r="I54" s="237">
        <v>62</v>
      </c>
      <c r="J54" s="237">
        <v>7</v>
      </c>
      <c r="K54" s="237">
        <v>47</v>
      </c>
    </row>
    <row r="55" spans="1:11" s="18" customFormat="1" ht="12.95" customHeight="1">
      <c r="A55" s="125"/>
      <c r="B55" s="62"/>
      <c r="C55" s="91"/>
      <c r="D55" s="170">
        <v>2017</v>
      </c>
      <c r="E55" s="237">
        <f t="shared" si="10"/>
        <v>116</v>
      </c>
      <c r="F55" s="237">
        <f>26+9</f>
        <v>35</v>
      </c>
      <c r="G55" s="237">
        <v>1</v>
      </c>
      <c r="H55" s="237">
        <v>2</v>
      </c>
      <c r="I55" s="237">
        <v>45</v>
      </c>
      <c r="J55" s="371" t="s">
        <v>51</v>
      </c>
      <c r="K55" s="237">
        <f>1+3+15+14</f>
        <v>33</v>
      </c>
    </row>
    <row r="56" spans="1:11" s="18" customFormat="1" ht="8.1" customHeight="1">
      <c r="A56" s="125"/>
      <c r="B56" s="62"/>
      <c r="C56" s="91"/>
      <c r="D56" s="170"/>
      <c r="E56" s="237"/>
      <c r="F56" s="237"/>
      <c r="G56" s="237"/>
      <c r="H56" s="237"/>
      <c r="I56" s="237"/>
      <c r="J56" s="237"/>
      <c r="K56" s="237"/>
    </row>
    <row r="57" spans="1:11" s="18" customFormat="1" ht="12.95" customHeight="1">
      <c r="A57" s="55"/>
      <c r="B57" s="62" t="s">
        <v>73</v>
      </c>
      <c r="C57" s="91"/>
      <c r="D57" s="170">
        <v>2015</v>
      </c>
      <c r="E57" s="237">
        <f t="shared" ref="E57:E59" si="11">SUM(F57:K57)</f>
        <v>34</v>
      </c>
      <c r="F57" s="237">
        <v>5</v>
      </c>
      <c r="G57" s="371" t="s">
        <v>51</v>
      </c>
      <c r="H57" s="237">
        <v>1</v>
      </c>
      <c r="I57" s="237">
        <v>25</v>
      </c>
      <c r="J57" s="237">
        <v>1</v>
      </c>
      <c r="K57" s="237">
        <v>2</v>
      </c>
    </row>
    <row r="58" spans="1:11" s="18" customFormat="1" ht="12.95" customHeight="1">
      <c r="A58" s="55"/>
      <c r="B58" s="62"/>
      <c r="C58" s="91"/>
      <c r="D58" s="170">
        <v>2016</v>
      </c>
      <c r="E58" s="237">
        <f t="shared" si="11"/>
        <v>30</v>
      </c>
      <c r="F58" s="237">
        <v>2</v>
      </c>
      <c r="G58" s="237">
        <v>1</v>
      </c>
      <c r="H58" s="237">
        <v>7</v>
      </c>
      <c r="I58" s="237">
        <v>13</v>
      </c>
      <c r="J58" s="237">
        <v>2</v>
      </c>
      <c r="K58" s="237">
        <v>5</v>
      </c>
    </row>
    <row r="59" spans="1:11" s="18" customFormat="1" ht="12.95" customHeight="1">
      <c r="A59" s="125"/>
      <c r="B59" s="62"/>
      <c r="C59" s="91"/>
      <c r="D59" s="170">
        <v>2017</v>
      </c>
      <c r="E59" s="237">
        <f t="shared" si="11"/>
        <v>23</v>
      </c>
      <c r="F59" s="237">
        <f>4+1</f>
        <v>5</v>
      </c>
      <c r="G59" s="237">
        <v>1</v>
      </c>
      <c r="H59" s="237">
        <v>1</v>
      </c>
      <c r="I59" s="237">
        <v>12</v>
      </c>
      <c r="J59" s="371" t="s">
        <v>51</v>
      </c>
      <c r="K59" s="237">
        <f>1+3</f>
        <v>4</v>
      </c>
    </row>
    <row r="60" spans="1:11" s="18" customFormat="1" ht="8.1" customHeight="1">
      <c r="A60" s="125"/>
      <c r="B60" s="62"/>
      <c r="C60" s="91"/>
      <c r="D60" s="170"/>
      <c r="E60" s="237"/>
      <c r="F60" s="237"/>
      <c r="G60" s="237"/>
      <c r="H60" s="237"/>
      <c r="I60" s="237"/>
      <c r="J60" s="237"/>
      <c r="K60" s="237"/>
    </row>
    <row r="61" spans="1:11" s="18" customFormat="1" ht="12.95" customHeight="1">
      <c r="A61" s="55"/>
      <c r="B61" s="62" t="s">
        <v>74</v>
      </c>
      <c r="C61" s="91"/>
      <c r="D61" s="170">
        <v>2015</v>
      </c>
      <c r="E61" s="237">
        <f t="shared" ref="E61:E63" si="12">SUM(F61:K61)</f>
        <v>82</v>
      </c>
      <c r="F61" s="237">
        <v>20</v>
      </c>
      <c r="G61" s="237">
        <v>3</v>
      </c>
      <c r="H61" s="237">
        <v>2</v>
      </c>
      <c r="I61" s="237">
        <v>34</v>
      </c>
      <c r="J61" s="371" t="s">
        <v>51</v>
      </c>
      <c r="K61" s="237">
        <v>23</v>
      </c>
    </row>
    <row r="62" spans="1:11" s="18" customFormat="1" ht="12.95" customHeight="1">
      <c r="A62" s="55"/>
      <c r="B62" s="62"/>
      <c r="C62" s="91"/>
      <c r="D62" s="170">
        <v>2016</v>
      </c>
      <c r="E62" s="237">
        <f t="shared" si="12"/>
        <v>99</v>
      </c>
      <c r="F62" s="237">
        <v>24</v>
      </c>
      <c r="G62" s="237">
        <v>1</v>
      </c>
      <c r="H62" s="237">
        <v>5</v>
      </c>
      <c r="I62" s="237">
        <v>49</v>
      </c>
      <c r="J62" s="237">
        <v>1</v>
      </c>
      <c r="K62" s="237">
        <v>19</v>
      </c>
    </row>
    <row r="63" spans="1:11" s="18" customFormat="1" ht="12.95" customHeight="1">
      <c r="A63" s="125"/>
      <c r="B63" s="62"/>
      <c r="C63" s="91"/>
      <c r="D63" s="170">
        <v>2017</v>
      </c>
      <c r="E63" s="237">
        <f t="shared" si="12"/>
        <v>104</v>
      </c>
      <c r="F63" s="237">
        <f>7+9</f>
        <v>16</v>
      </c>
      <c r="G63" s="237">
        <v>2</v>
      </c>
      <c r="H63" s="237">
        <v>3</v>
      </c>
      <c r="I63" s="237">
        <v>62</v>
      </c>
      <c r="J63" s="371" t="s">
        <v>51</v>
      </c>
      <c r="K63" s="237">
        <f>1+9+11</f>
        <v>21</v>
      </c>
    </row>
    <row r="64" spans="1:11" s="18" customFormat="1" ht="8.1" customHeight="1">
      <c r="A64" s="125"/>
      <c r="B64" s="62"/>
      <c r="C64" s="91"/>
      <c r="D64" s="170"/>
      <c r="E64" s="237"/>
      <c r="F64" s="237"/>
      <c r="G64" s="237"/>
      <c r="H64" s="237"/>
      <c r="I64" s="237"/>
      <c r="J64" s="237"/>
      <c r="K64" s="237"/>
    </row>
    <row r="65" spans="1:12" s="18" customFormat="1" ht="12.95" customHeight="1">
      <c r="A65" s="125"/>
      <c r="B65" s="62" t="s">
        <v>75</v>
      </c>
      <c r="C65" s="91"/>
      <c r="D65" s="170">
        <v>2015</v>
      </c>
      <c r="E65" s="237">
        <f t="shared" ref="E65:E67" si="13">SUM(F65:K65)</f>
        <v>648</v>
      </c>
      <c r="F65" s="237">
        <v>120</v>
      </c>
      <c r="G65" s="237">
        <v>4</v>
      </c>
      <c r="H65" s="237">
        <v>39</v>
      </c>
      <c r="I65" s="237">
        <v>308</v>
      </c>
      <c r="J65" s="237">
        <v>17</v>
      </c>
      <c r="K65" s="237">
        <v>160</v>
      </c>
    </row>
    <row r="66" spans="1:12" s="102" customFormat="1" ht="12.95" customHeight="1">
      <c r="A66" s="124"/>
      <c r="B66" s="62"/>
      <c r="C66" s="91"/>
      <c r="D66" s="170">
        <v>2016</v>
      </c>
      <c r="E66" s="237">
        <f t="shared" si="13"/>
        <v>584</v>
      </c>
      <c r="F66" s="237">
        <v>97</v>
      </c>
      <c r="G66" s="237">
        <v>6</v>
      </c>
      <c r="H66" s="237">
        <v>33</v>
      </c>
      <c r="I66" s="237">
        <v>252</v>
      </c>
      <c r="J66" s="237">
        <v>20</v>
      </c>
      <c r="K66" s="237">
        <v>176</v>
      </c>
    </row>
    <row r="67" spans="1:12" s="18" customFormat="1" ht="12.95" customHeight="1">
      <c r="A67" s="125"/>
      <c r="B67" s="62"/>
      <c r="C67" s="91"/>
      <c r="D67" s="170">
        <v>2017</v>
      </c>
      <c r="E67" s="237">
        <f t="shared" si="13"/>
        <v>561</v>
      </c>
      <c r="F67" s="237">
        <f>93+36</f>
        <v>129</v>
      </c>
      <c r="G67" s="237">
        <f>1+3</f>
        <v>4</v>
      </c>
      <c r="H67" s="237">
        <v>28</v>
      </c>
      <c r="I67" s="237">
        <v>214</v>
      </c>
      <c r="J67" s="371" t="s">
        <v>51</v>
      </c>
      <c r="K67" s="237">
        <f>1+18+17+69+1+80</f>
        <v>186</v>
      </c>
    </row>
    <row r="68" spans="1:12" s="18" customFormat="1" ht="8.1" customHeight="1">
      <c r="A68" s="125"/>
      <c r="B68" s="62"/>
      <c r="C68" s="91"/>
      <c r="D68" s="170"/>
      <c r="E68" s="237"/>
      <c r="F68" s="237"/>
      <c r="G68" s="237"/>
      <c r="H68" s="237"/>
      <c r="I68" s="237"/>
      <c r="J68" s="237"/>
      <c r="K68" s="237"/>
    </row>
    <row r="69" spans="1:12" s="19" customFormat="1" ht="12.95" customHeight="1">
      <c r="A69" s="55"/>
      <c r="B69" s="62" t="s">
        <v>76</v>
      </c>
      <c r="C69" s="91"/>
      <c r="D69" s="170">
        <v>2015</v>
      </c>
      <c r="E69" s="237">
        <f t="shared" ref="E69:E71" si="14">SUM(F69:K69)</f>
        <v>158</v>
      </c>
      <c r="F69" s="237">
        <v>37</v>
      </c>
      <c r="G69" s="237">
        <v>5</v>
      </c>
      <c r="H69" s="237">
        <v>10</v>
      </c>
      <c r="I69" s="237">
        <v>58</v>
      </c>
      <c r="J69" s="371" t="s">
        <v>51</v>
      </c>
      <c r="K69" s="237">
        <v>48</v>
      </c>
    </row>
    <row r="70" spans="1:12" s="19" customFormat="1" ht="12.95" customHeight="1">
      <c r="A70" s="55"/>
      <c r="B70" s="62"/>
      <c r="C70" s="91"/>
      <c r="D70" s="170">
        <v>2016</v>
      </c>
      <c r="E70" s="237">
        <f t="shared" si="14"/>
        <v>112</v>
      </c>
      <c r="F70" s="237">
        <v>21</v>
      </c>
      <c r="G70" s="237">
        <v>1</v>
      </c>
      <c r="H70" s="237">
        <v>7</v>
      </c>
      <c r="I70" s="237">
        <v>56</v>
      </c>
      <c r="J70" s="237">
        <v>1</v>
      </c>
      <c r="K70" s="237">
        <v>26</v>
      </c>
    </row>
    <row r="71" spans="1:12" s="19" customFormat="1" ht="12.95" customHeight="1">
      <c r="A71" s="125"/>
      <c r="B71" s="62"/>
      <c r="C71" s="91"/>
      <c r="D71" s="170">
        <v>2017</v>
      </c>
      <c r="E71" s="237">
        <f t="shared" si="14"/>
        <v>117</v>
      </c>
      <c r="F71" s="237">
        <f>19+4</f>
        <v>23</v>
      </c>
      <c r="G71" s="237">
        <v>2</v>
      </c>
      <c r="H71" s="237">
        <v>12</v>
      </c>
      <c r="I71" s="237">
        <v>47</v>
      </c>
      <c r="J71" s="371" t="s">
        <v>51</v>
      </c>
      <c r="K71" s="237">
        <f>4+15+2+12</f>
        <v>33</v>
      </c>
    </row>
    <row r="72" spans="1:12" s="19" customFormat="1" ht="8.1" customHeight="1">
      <c r="A72" s="125"/>
      <c r="B72" s="62"/>
      <c r="C72" s="91"/>
      <c r="D72" s="170"/>
      <c r="E72" s="237"/>
      <c r="F72" s="237"/>
      <c r="G72" s="237"/>
      <c r="H72" s="237"/>
      <c r="I72" s="237"/>
      <c r="J72" s="237"/>
      <c r="K72" s="237"/>
    </row>
    <row r="73" spans="1:12" s="19" customFormat="1" ht="12.95" customHeight="1">
      <c r="A73" s="55"/>
      <c r="B73" s="62" t="s">
        <v>77</v>
      </c>
      <c r="C73" s="91"/>
      <c r="D73" s="170">
        <v>2015</v>
      </c>
      <c r="E73" s="237">
        <f t="shared" ref="E73:E75" si="15">SUM(F73:K73)</f>
        <v>152</v>
      </c>
      <c r="F73" s="237">
        <v>11</v>
      </c>
      <c r="G73" s="237">
        <v>9</v>
      </c>
      <c r="H73" s="237">
        <v>9</v>
      </c>
      <c r="I73" s="237">
        <v>85</v>
      </c>
      <c r="J73" s="371" t="s">
        <v>51</v>
      </c>
      <c r="K73" s="237">
        <v>38</v>
      </c>
    </row>
    <row r="74" spans="1:12" s="19" customFormat="1" ht="12.95" customHeight="1">
      <c r="A74" s="55"/>
      <c r="B74" s="62"/>
      <c r="C74" s="91"/>
      <c r="D74" s="170">
        <v>2016</v>
      </c>
      <c r="E74" s="237">
        <f t="shared" si="15"/>
        <v>140</v>
      </c>
      <c r="F74" s="371">
        <v>10</v>
      </c>
      <c r="G74" s="237">
        <v>19</v>
      </c>
      <c r="H74" s="237">
        <v>13</v>
      </c>
      <c r="I74" s="237">
        <v>64</v>
      </c>
      <c r="J74" s="237">
        <v>1</v>
      </c>
      <c r="K74" s="237">
        <v>33</v>
      </c>
    </row>
    <row r="75" spans="1:12" s="19" customFormat="1" ht="12.95" customHeight="1">
      <c r="A75" s="125"/>
      <c r="B75" s="62"/>
      <c r="C75" s="91"/>
      <c r="D75" s="170">
        <v>2017</v>
      </c>
      <c r="E75" s="237">
        <f t="shared" si="15"/>
        <v>133</v>
      </c>
      <c r="F75" s="237">
        <f>16+5</f>
        <v>21</v>
      </c>
      <c r="G75" s="237">
        <f>1+6</f>
        <v>7</v>
      </c>
      <c r="H75" s="237">
        <v>7</v>
      </c>
      <c r="I75" s="237">
        <v>63</v>
      </c>
      <c r="J75" s="371" t="s">
        <v>51</v>
      </c>
      <c r="K75" s="237">
        <f>2+6+10+1+16</f>
        <v>35</v>
      </c>
    </row>
    <row r="76" spans="1:12" s="55" customFormat="1" ht="8.1" customHeight="1" thickBot="1">
      <c r="A76" s="283"/>
      <c r="B76" s="64"/>
      <c r="C76" s="363"/>
      <c r="D76" s="382"/>
      <c r="E76" s="264"/>
      <c r="F76" s="264"/>
      <c r="G76" s="264"/>
      <c r="H76" s="264"/>
      <c r="I76" s="264"/>
      <c r="J76" s="383"/>
      <c r="K76" s="264"/>
      <c r="L76" s="283"/>
    </row>
    <row r="77" spans="1:12">
      <c r="B77" s="346"/>
      <c r="C77" s="346"/>
      <c r="D77" s="346"/>
      <c r="E77" s="245"/>
      <c r="F77" s="246"/>
      <c r="G77" s="7"/>
      <c r="H77" s="7"/>
      <c r="I77" s="348"/>
      <c r="J77" s="247"/>
      <c r="K77" s="8" t="s">
        <v>104</v>
      </c>
    </row>
    <row r="78" spans="1:12">
      <c r="B78" s="7"/>
      <c r="C78" s="7"/>
      <c r="D78" s="7"/>
      <c r="E78" s="349"/>
      <c r="F78" s="347"/>
      <c r="G78" s="346"/>
      <c r="H78" s="346"/>
      <c r="I78" s="347"/>
      <c r="J78" s="246"/>
      <c r="K78" s="41" t="s">
        <v>1</v>
      </c>
    </row>
  </sheetData>
  <mergeCells count="6">
    <mergeCell ref="B10:C11"/>
    <mergeCell ref="E10:E11"/>
    <mergeCell ref="F10:F11"/>
    <mergeCell ref="G10:I10"/>
    <mergeCell ref="J10:J11"/>
    <mergeCell ref="K10:K11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79" fitToWidth="0" orientation="portrait" r:id="rId1"/>
  <headerFooter>
    <oddHeader xml:space="preserve">&amp;R&amp;"-,Bold"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9"/>
  <sheetViews>
    <sheetView showGridLines="0" topLeftCell="A17" zoomScaleNormal="100" zoomScaleSheetLayoutView="100" workbookViewId="0">
      <selection activeCell="P43" sqref="P43"/>
    </sheetView>
  </sheetViews>
  <sheetFormatPr defaultColWidth="9.140625" defaultRowHeight="15"/>
  <cols>
    <col min="1" max="1" width="1.7109375" style="2" customWidth="1"/>
    <col min="2" max="2" width="11.140625" style="3" customWidth="1"/>
    <col min="3" max="3" width="12.28515625" style="3" customWidth="1"/>
    <col min="4" max="4" width="10.85546875" style="3" customWidth="1"/>
    <col min="5" max="5" width="15.7109375" style="21" customWidth="1"/>
    <col min="6" max="6" width="23.7109375" style="22" customWidth="1"/>
    <col min="7" max="7" width="23.7109375" style="182" customWidth="1"/>
    <col min="8" max="8" width="0.85546875" style="2" customWidth="1"/>
    <col min="9" max="16384" width="9.140625" style="2"/>
  </cols>
  <sheetData>
    <row r="1" spans="1:15" s="30" customFormat="1" ht="12" customHeight="1">
      <c r="B1" s="27"/>
      <c r="C1" s="27"/>
      <c r="D1" s="27"/>
      <c r="E1" s="28"/>
      <c r="F1" s="29"/>
      <c r="G1" s="179" t="s">
        <v>188</v>
      </c>
    </row>
    <row r="2" spans="1:15" s="30" customFormat="1" ht="12" customHeight="1">
      <c r="B2" s="27"/>
      <c r="C2" s="27"/>
      <c r="D2" s="27"/>
      <c r="E2" s="28"/>
      <c r="F2" s="29"/>
      <c r="G2" s="180" t="s">
        <v>189</v>
      </c>
    </row>
    <row r="3" spans="1:15" s="30" customFormat="1" ht="12" customHeight="1">
      <c r="B3" s="27"/>
      <c r="C3" s="27"/>
      <c r="D3" s="27"/>
      <c r="E3" s="28"/>
      <c r="F3" s="29"/>
      <c r="G3" s="180"/>
    </row>
    <row r="4" spans="1:15" s="30" customFormat="1" ht="12" customHeight="1">
      <c r="B4" s="27"/>
      <c r="C4" s="27"/>
      <c r="D4" s="27"/>
      <c r="E4" s="28"/>
      <c r="F4" s="29"/>
      <c r="G4" s="180"/>
    </row>
    <row r="5" spans="1:15" s="55" customFormat="1" ht="15" customHeight="1">
      <c r="B5" s="88" t="s">
        <v>92</v>
      </c>
      <c r="C5" s="71" t="s">
        <v>179</v>
      </c>
      <c r="D5" s="71"/>
      <c r="E5" s="70"/>
      <c r="F5" s="71"/>
      <c r="G5" s="181"/>
      <c r="H5" s="71"/>
    </row>
    <row r="6" spans="1:15" s="72" customFormat="1" ht="15" customHeight="1">
      <c r="B6" s="89" t="s">
        <v>93</v>
      </c>
      <c r="C6" s="189" t="s">
        <v>180</v>
      </c>
      <c r="D6" s="189"/>
      <c r="E6" s="189"/>
      <c r="F6" s="189"/>
      <c r="G6" s="189"/>
      <c r="H6" s="74"/>
    </row>
    <row r="7" spans="1:15" ht="9.9499999999999993" customHeight="1" thickBot="1"/>
    <row r="8" spans="1:15" s="55" customFormat="1" ht="20.100000000000001" customHeight="1" thickTop="1">
      <c r="A8" s="53"/>
      <c r="B8" s="196" t="s">
        <v>98</v>
      </c>
      <c r="C8" s="196"/>
      <c r="D8" s="190" t="s">
        <v>100</v>
      </c>
      <c r="E8" s="190" t="s">
        <v>95</v>
      </c>
      <c r="F8" s="192" t="s">
        <v>96</v>
      </c>
      <c r="G8" s="194" t="s">
        <v>97</v>
      </c>
      <c r="H8" s="54"/>
    </row>
    <row r="9" spans="1:15" s="55" customFormat="1" ht="33" customHeight="1" thickBot="1">
      <c r="A9" s="56"/>
      <c r="B9" s="197"/>
      <c r="C9" s="197"/>
      <c r="D9" s="191"/>
      <c r="E9" s="191"/>
      <c r="F9" s="193"/>
      <c r="G9" s="195"/>
      <c r="H9" s="57"/>
    </row>
    <row r="10" spans="1:15" ht="8.1" customHeight="1">
      <c r="A10" s="45"/>
      <c r="B10" s="47"/>
      <c r="C10" s="47"/>
      <c r="D10" s="47"/>
      <c r="E10" s="48"/>
      <c r="F10" s="48"/>
      <c r="G10" s="185"/>
      <c r="H10" s="45"/>
    </row>
    <row r="11" spans="1:15" s="24" customFormat="1" ht="15" customHeight="1">
      <c r="B11" s="68" t="s">
        <v>184</v>
      </c>
      <c r="C11" s="68"/>
      <c r="D11" s="69">
        <v>2015</v>
      </c>
      <c r="E11" s="174">
        <f>E15+E19+E23+E27+E31+E35+E39+E43+E47+E51</f>
        <v>5031</v>
      </c>
      <c r="F11" s="69">
        <f t="shared" ref="F11:G11" si="0">F15+F19+F23+F27+F31+F35+F39+F43+F47+F51</f>
        <v>644</v>
      </c>
      <c r="G11" s="174">
        <f t="shared" si="0"/>
        <v>4387</v>
      </c>
      <c r="O11" s="6"/>
    </row>
    <row r="12" spans="1:15" s="24" customFormat="1" ht="15" customHeight="1">
      <c r="B12" s="68"/>
      <c r="C12" s="68"/>
      <c r="D12" s="69">
        <v>2016</v>
      </c>
      <c r="E12" s="174">
        <f t="shared" ref="E12:F12" si="1">E16+E20+E24+E28+E32+E36+E40+E44+E48+E52</f>
        <v>4548</v>
      </c>
      <c r="F12" s="69">
        <f t="shared" si="1"/>
        <v>543</v>
      </c>
      <c r="G12" s="174">
        <f>G16+G20+G24+G28+G32+G36+G40+G44+G48+G52</f>
        <v>4005</v>
      </c>
      <c r="O12" s="6"/>
    </row>
    <row r="13" spans="1:15" s="24" customFormat="1" ht="15" customHeight="1">
      <c r="B13" s="68"/>
      <c r="C13" s="68"/>
      <c r="D13" s="69">
        <v>2017</v>
      </c>
      <c r="E13" s="174">
        <f>SUM(F13:G13)</f>
        <v>4520</v>
      </c>
      <c r="F13" s="174">
        <f>F17+F21+F25+F29+F33+F37+F41+F45+F49+F53</f>
        <v>600</v>
      </c>
      <c r="G13" s="174">
        <f>G17+G21+G25+G29+G33+G37+G41+G45+G49+G53</f>
        <v>3920</v>
      </c>
      <c r="O13" s="6"/>
    </row>
    <row r="14" spans="1:15" s="7" customFormat="1" ht="8.1" customHeight="1">
      <c r="B14" s="68"/>
      <c r="C14" s="68"/>
      <c r="D14" s="67"/>
      <c r="E14" s="60"/>
      <c r="F14" s="60"/>
      <c r="G14" s="60"/>
      <c r="O14" s="2"/>
    </row>
    <row r="15" spans="1:15" s="7" customFormat="1" ht="15" customHeight="1">
      <c r="B15" s="62" t="s">
        <v>11</v>
      </c>
      <c r="C15" s="62"/>
      <c r="D15" s="170">
        <v>2015</v>
      </c>
      <c r="E15" s="175">
        <f>SUM(F15:G15)</f>
        <v>426</v>
      </c>
      <c r="F15" s="170">
        <v>87</v>
      </c>
      <c r="G15" s="175">
        <v>339</v>
      </c>
      <c r="O15" s="2"/>
    </row>
    <row r="16" spans="1:15" s="7" customFormat="1" ht="15" customHeight="1">
      <c r="B16" s="62"/>
      <c r="C16" s="62"/>
      <c r="D16" s="170">
        <v>2016</v>
      </c>
      <c r="E16" s="175">
        <f>SUM(F16:G16)</f>
        <v>375</v>
      </c>
      <c r="F16" s="170">
        <v>85</v>
      </c>
      <c r="G16" s="175">
        <v>290</v>
      </c>
      <c r="O16" s="2"/>
    </row>
    <row r="17" spans="2:15" s="7" customFormat="1" ht="15" customHeight="1">
      <c r="B17" s="62"/>
      <c r="C17" s="62"/>
      <c r="D17" s="170">
        <v>2017</v>
      </c>
      <c r="E17" s="175">
        <f>SUM(F17:G17)</f>
        <v>309</v>
      </c>
      <c r="F17" s="170">
        <v>56</v>
      </c>
      <c r="G17" s="175">
        <v>253</v>
      </c>
      <c r="O17" s="2"/>
    </row>
    <row r="18" spans="2:15" s="7" customFormat="1" ht="8.1" customHeight="1">
      <c r="B18" s="62"/>
      <c r="C18" s="62"/>
      <c r="D18" s="170"/>
      <c r="E18" s="175"/>
      <c r="F18" s="170"/>
      <c r="G18" s="175"/>
      <c r="O18" s="2"/>
    </row>
    <row r="19" spans="2:15" s="7" customFormat="1" ht="15" customHeight="1">
      <c r="B19" s="62" t="s">
        <v>18</v>
      </c>
      <c r="C19" s="62"/>
      <c r="D19" s="170">
        <v>2015</v>
      </c>
      <c r="E19" s="175">
        <f>SUM(F19:G19)</f>
        <v>224</v>
      </c>
      <c r="F19" s="170">
        <v>31</v>
      </c>
      <c r="G19" s="175">
        <v>193</v>
      </c>
      <c r="O19" s="2"/>
    </row>
    <row r="20" spans="2:15" s="7" customFormat="1" ht="15" customHeight="1">
      <c r="B20" s="62"/>
      <c r="C20" s="62"/>
      <c r="D20" s="170">
        <v>2016</v>
      </c>
      <c r="E20" s="175">
        <f>SUM(F20:G20)</f>
        <v>233</v>
      </c>
      <c r="F20" s="169">
        <v>41</v>
      </c>
      <c r="G20" s="175">
        <v>192</v>
      </c>
      <c r="O20" s="2"/>
    </row>
    <row r="21" spans="2:15" s="7" customFormat="1" ht="15" customHeight="1">
      <c r="B21" s="62"/>
      <c r="C21" s="62"/>
      <c r="D21" s="170">
        <v>2017</v>
      </c>
      <c r="E21" s="175">
        <f>SUM(F21:G21)</f>
        <v>198</v>
      </c>
      <c r="F21" s="170">
        <v>34</v>
      </c>
      <c r="G21" s="175">
        <v>164</v>
      </c>
      <c r="O21" s="2"/>
    </row>
    <row r="22" spans="2:15" s="7" customFormat="1" ht="8.1" customHeight="1">
      <c r="B22" s="62"/>
      <c r="C22" s="62"/>
      <c r="D22" s="170"/>
      <c r="E22" s="175"/>
      <c r="F22" s="173"/>
      <c r="G22" s="175"/>
      <c r="O22" s="2"/>
    </row>
    <row r="23" spans="2:15" s="7" customFormat="1" ht="15" customHeight="1">
      <c r="B23" s="62" t="s">
        <v>20</v>
      </c>
      <c r="C23" s="62"/>
      <c r="D23" s="170">
        <v>2015</v>
      </c>
      <c r="E23" s="175">
        <f>SUM(F23:G23)</f>
        <v>82</v>
      </c>
      <c r="F23" s="170">
        <v>12</v>
      </c>
      <c r="G23" s="175">
        <v>70</v>
      </c>
      <c r="O23" s="2"/>
    </row>
    <row r="24" spans="2:15" ht="15" customHeight="1">
      <c r="B24" s="62"/>
      <c r="C24" s="62"/>
      <c r="D24" s="170">
        <v>2016</v>
      </c>
      <c r="E24" s="175">
        <f>SUM(F24:G24)</f>
        <v>46</v>
      </c>
      <c r="F24" s="173">
        <v>8</v>
      </c>
      <c r="G24" s="175">
        <v>38</v>
      </c>
      <c r="H24" s="7"/>
    </row>
    <row r="25" spans="2:15" ht="15" customHeight="1">
      <c r="B25" s="62"/>
      <c r="C25" s="62"/>
      <c r="D25" s="170">
        <v>2017</v>
      </c>
      <c r="E25" s="175">
        <f>SUM(F25:G25)</f>
        <v>49</v>
      </c>
      <c r="F25" s="170">
        <v>6</v>
      </c>
      <c r="G25" s="175">
        <v>43</v>
      </c>
    </row>
    <row r="26" spans="2:15" ht="8.1" customHeight="1">
      <c r="B26" s="62"/>
      <c r="C26" s="62"/>
      <c r="D26" s="170"/>
      <c r="E26" s="175"/>
      <c r="F26" s="169"/>
      <c r="G26" s="175"/>
    </row>
    <row r="27" spans="2:15" ht="15" customHeight="1">
      <c r="B27" s="62" t="s">
        <v>12</v>
      </c>
      <c r="C27" s="62"/>
      <c r="D27" s="170">
        <v>2015</v>
      </c>
      <c r="E27" s="175">
        <f>SUM(F27:G27)</f>
        <v>2111</v>
      </c>
      <c r="F27" s="170">
        <v>196</v>
      </c>
      <c r="G27" s="175">
        <v>1915</v>
      </c>
    </row>
    <row r="28" spans="2:15" ht="15" customHeight="1">
      <c r="B28" s="62"/>
      <c r="C28" s="62"/>
      <c r="D28" s="170">
        <v>2016</v>
      </c>
      <c r="E28" s="175">
        <f>SUM(F28:G28)</f>
        <v>1862</v>
      </c>
      <c r="F28" s="173">
        <v>128</v>
      </c>
      <c r="G28" s="175">
        <v>1734</v>
      </c>
    </row>
    <row r="29" spans="2:15" s="3" customFormat="1" ht="15" customHeight="1">
      <c r="B29" s="62"/>
      <c r="C29" s="62"/>
      <c r="D29" s="170">
        <v>2017</v>
      </c>
      <c r="E29" s="175">
        <f>SUM(F29:G29)</f>
        <v>2000</v>
      </c>
      <c r="F29" s="170">
        <v>188</v>
      </c>
      <c r="G29" s="175">
        <v>1812</v>
      </c>
      <c r="H29" s="2"/>
      <c r="I29" s="2"/>
      <c r="J29" s="2"/>
      <c r="K29" s="2"/>
      <c r="L29" s="2"/>
    </row>
    <row r="30" spans="2:15" s="3" customFormat="1" ht="8.1" customHeight="1">
      <c r="B30" s="62"/>
      <c r="C30" s="62"/>
      <c r="D30" s="170"/>
      <c r="E30" s="175"/>
      <c r="F30" s="170"/>
      <c r="G30" s="175"/>
      <c r="H30" s="2"/>
      <c r="I30" s="2"/>
      <c r="J30" s="2"/>
      <c r="K30" s="2"/>
      <c r="L30" s="2"/>
    </row>
    <row r="31" spans="2:15" ht="15" customHeight="1">
      <c r="B31" s="62" t="s">
        <v>19</v>
      </c>
      <c r="C31" s="62"/>
      <c r="D31" s="170">
        <v>2015</v>
      </c>
      <c r="E31" s="175">
        <f>SUM(F31:G31)</f>
        <v>271</v>
      </c>
      <c r="F31" s="170">
        <v>36</v>
      </c>
      <c r="G31" s="175">
        <v>235</v>
      </c>
    </row>
    <row r="32" spans="2:15" ht="15" customHeight="1">
      <c r="B32" s="62"/>
      <c r="C32" s="62"/>
      <c r="D32" s="170">
        <v>2016</v>
      </c>
      <c r="E32" s="175">
        <f>SUM(F32:G32)</f>
        <v>256</v>
      </c>
      <c r="F32" s="170">
        <v>47</v>
      </c>
      <c r="G32" s="175">
        <v>209</v>
      </c>
    </row>
    <row r="33" spans="2:7" ht="15" customHeight="1">
      <c r="B33" s="62"/>
      <c r="C33" s="62"/>
      <c r="D33" s="170">
        <v>2017</v>
      </c>
      <c r="E33" s="175">
        <f>SUM(F33:G33)</f>
        <v>254</v>
      </c>
      <c r="F33" s="170">
        <v>44</v>
      </c>
      <c r="G33" s="175">
        <v>210</v>
      </c>
    </row>
    <row r="34" spans="2:7" ht="8.1" customHeight="1">
      <c r="B34" s="62"/>
      <c r="C34" s="62"/>
      <c r="D34" s="170"/>
      <c r="E34" s="175"/>
      <c r="F34" s="173"/>
      <c r="G34" s="175"/>
    </row>
    <row r="35" spans="2:7" ht="15" customHeight="1">
      <c r="B35" s="62" t="s">
        <v>13</v>
      </c>
      <c r="C35" s="62"/>
      <c r="D35" s="170">
        <v>2015</v>
      </c>
      <c r="E35" s="175">
        <f>SUM(F35:G35)</f>
        <v>240</v>
      </c>
      <c r="F35" s="170">
        <v>39</v>
      </c>
      <c r="G35" s="175">
        <v>201</v>
      </c>
    </row>
    <row r="36" spans="2:7" ht="15" customHeight="1">
      <c r="B36" s="62"/>
      <c r="C36" s="62"/>
      <c r="D36" s="170">
        <v>2016</v>
      </c>
      <c r="E36" s="175">
        <f>SUM(F36:G36)</f>
        <v>232</v>
      </c>
      <c r="F36" s="173">
        <v>21</v>
      </c>
      <c r="G36" s="175">
        <v>211</v>
      </c>
    </row>
    <row r="37" spans="2:7" ht="15" customHeight="1">
      <c r="B37" s="62"/>
      <c r="C37" s="62"/>
      <c r="D37" s="170">
        <v>2017</v>
      </c>
      <c r="E37" s="175">
        <f>SUM(F37:G37)</f>
        <v>215</v>
      </c>
      <c r="F37" s="170">
        <v>38</v>
      </c>
      <c r="G37" s="175">
        <v>177</v>
      </c>
    </row>
    <row r="38" spans="2:7" ht="8.1" customHeight="1">
      <c r="B38" s="62"/>
      <c r="C38" s="62"/>
      <c r="D38" s="170"/>
      <c r="E38" s="175"/>
      <c r="F38" s="170"/>
      <c r="G38" s="175"/>
    </row>
    <row r="39" spans="2:7" ht="15" customHeight="1">
      <c r="B39" s="62" t="s">
        <v>14</v>
      </c>
      <c r="C39" s="62"/>
      <c r="D39" s="170">
        <v>2015</v>
      </c>
      <c r="E39" s="175">
        <f>SUM(F39:G39)</f>
        <v>559</v>
      </c>
      <c r="F39" s="169">
        <v>76</v>
      </c>
      <c r="G39" s="175">
        <v>483</v>
      </c>
    </row>
    <row r="40" spans="2:7" ht="15" customHeight="1">
      <c r="B40" s="62"/>
      <c r="C40" s="62"/>
      <c r="D40" s="170">
        <v>2016</v>
      </c>
      <c r="E40" s="175">
        <f>SUM(F40:G40)</f>
        <v>511</v>
      </c>
      <c r="F40" s="170">
        <v>65</v>
      </c>
      <c r="G40" s="175">
        <v>446</v>
      </c>
    </row>
    <row r="41" spans="2:7" ht="15" customHeight="1">
      <c r="B41" s="62"/>
      <c r="C41" s="62"/>
      <c r="D41" s="170">
        <v>2017</v>
      </c>
      <c r="E41" s="175">
        <f>SUM(F41:G41)</f>
        <v>482</v>
      </c>
      <c r="F41" s="169">
        <v>56</v>
      </c>
      <c r="G41" s="175">
        <v>426</v>
      </c>
    </row>
    <row r="42" spans="2:7" ht="8.1" customHeight="1">
      <c r="B42" s="62"/>
      <c r="C42" s="62"/>
      <c r="D42" s="170"/>
      <c r="E42" s="175"/>
      <c r="F42" s="170"/>
      <c r="G42" s="175"/>
    </row>
    <row r="43" spans="2:7" ht="15" customHeight="1">
      <c r="B43" s="62" t="s">
        <v>15</v>
      </c>
      <c r="C43" s="62"/>
      <c r="D43" s="170">
        <v>2015</v>
      </c>
      <c r="E43" s="175">
        <f>SUM(F43:G43)</f>
        <v>436</v>
      </c>
      <c r="F43" s="170">
        <v>77</v>
      </c>
      <c r="G43" s="175">
        <v>359</v>
      </c>
    </row>
    <row r="44" spans="2:7" ht="15" customHeight="1">
      <c r="B44" s="62"/>
      <c r="C44" s="62"/>
      <c r="D44" s="170">
        <v>2016</v>
      </c>
      <c r="E44" s="175">
        <f>SUM(F44:G44)</f>
        <v>405</v>
      </c>
      <c r="F44" s="173">
        <v>65</v>
      </c>
      <c r="G44" s="175">
        <v>340</v>
      </c>
    </row>
    <row r="45" spans="2:7" ht="15" customHeight="1">
      <c r="B45" s="62"/>
      <c r="C45" s="62"/>
      <c r="D45" s="170">
        <v>2017</v>
      </c>
      <c r="E45" s="175">
        <f>SUM(F45:G45)</f>
        <v>398</v>
      </c>
      <c r="F45" s="170">
        <v>61</v>
      </c>
      <c r="G45" s="175">
        <v>337</v>
      </c>
    </row>
    <row r="46" spans="2:7" ht="8.1" customHeight="1">
      <c r="B46" s="62"/>
      <c r="C46" s="62"/>
      <c r="D46" s="170"/>
      <c r="E46" s="175"/>
      <c r="F46" s="169"/>
      <c r="G46" s="175"/>
    </row>
    <row r="47" spans="2:7" ht="15" customHeight="1">
      <c r="B47" s="62" t="s">
        <v>16</v>
      </c>
      <c r="C47" s="62"/>
      <c r="D47" s="170">
        <v>2015</v>
      </c>
      <c r="E47" s="175">
        <f>SUM(F47:G47)</f>
        <v>303</v>
      </c>
      <c r="F47" s="173">
        <v>35</v>
      </c>
      <c r="G47" s="175">
        <v>268</v>
      </c>
    </row>
    <row r="48" spans="2:7" ht="15" customHeight="1">
      <c r="B48" s="62"/>
      <c r="C48" s="62"/>
      <c r="D48" s="170">
        <v>2016</v>
      </c>
      <c r="E48" s="175">
        <f>SUM(F48:G48)</f>
        <v>270</v>
      </c>
      <c r="F48" s="173">
        <v>34</v>
      </c>
      <c r="G48" s="175">
        <v>236</v>
      </c>
    </row>
    <row r="49" spans="1:15" ht="15" customHeight="1">
      <c r="B49" s="62"/>
      <c r="C49" s="62"/>
      <c r="D49" s="170">
        <v>2017</v>
      </c>
      <c r="E49" s="175">
        <f>SUM(F49:G49)</f>
        <v>264</v>
      </c>
      <c r="F49" s="173">
        <v>55</v>
      </c>
      <c r="G49" s="175">
        <v>209</v>
      </c>
    </row>
    <row r="50" spans="1:15" ht="8.1" customHeight="1">
      <c r="B50" s="62"/>
      <c r="C50" s="62"/>
      <c r="D50" s="170"/>
      <c r="E50" s="175"/>
      <c r="F50" s="170"/>
      <c r="G50" s="175"/>
    </row>
    <row r="51" spans="1:15" s="7" customFormat="1" ht="15" customHeight="1">
      <c r="B51" s="62" t="s">
        <v>17</v>
      </c>
      <c r="C51" s="62"/>
      <c r="D51" s="170">
        <v>2015</v>
      </c>
      <c r="E51" s="175">
        <f>SUM(F51:G51)</f>
        <v>379</v>
      </c>
      <c r="F51" s="170">
        <v>55</v>
      </c>
      <c r="G51" s="175">
        <v>324</v>
      </c>
      <c r="O51" s="2"/>
    </row>
    <row r="52" spans="1:15" s="7" customFormat="1" ht="15" customHeight="1">
      <c r="B52" s="62"/>
      <c r="C52" s="62"/>
      <c r="D52" s="170">
        <v>2016</v>
      </c>
      <c r="E52" s="175">
        <f>SUM(F52:G52)</f>
        <v>358</v>
      </c>
      <c r="F52" s="169">
        <v>49</v>
      </c>
      <c r="G52" s="175">
        <v>309</v>
      </c>
      <c r="O52" s="2"/>
    </row>
    <row r="53" spans="1:15" s="7" customFormat="1" ht="15" customHeight="1">
      <c r="B53" s="62"/>
      <c r="C53" s="62"/>
      <c r="D53" s="170">
        <v>2017</v>
      </c>
      <c r="E53" s="175">
        <f>SUM(F53:G53)</f>
        <v>351</v>
      </c>
      <c r="F53" s="170">
        <v>62</v>
      </c>
      <c r="G53" s="175">
        <v>289</v>
      </c>
      <c r="O53" s="2"/>
    </row>
    <row r="54" spans="1:15" ht="8.1" customHeight="1" thickBot="1">
      <c r="A54" s="34"/>
      <c r="B54" s="78"/>
      <c r="C54" s="78"/>
      <c r="D54" s="148"/>
      <c r="E54" s="79"/>
      <c r="F54" s="80"/>
      <c r="G54" s="186"/>
      <c r="H54" s="34"/>
    </row>
    <row r="55" spans="1:15">
      <c r="D55" s="139"/>
      <c r="G55" s="183" t="s">
        <v>104</v>
      </c>
    </row>
    <row r="56" spans="1:15">
      <c r="D56" s="139"/>
      <c r="G56" s="184" t="s">
        <v>1</v>
      </c>
    </row>
    <row r="57" spans="1:15">
      <c r="D57" s="139"/>
    </row>
    <row r="58" spans="1:15">
      <c r="D58" s="139"/>
    </row>
    <row r="59" spans="1:15">
      <c r="D59" s="139"/>
    </row>
    <row r="60" spans="1:15">
      <c r="D60" s="139"/>
    </row>
    <row r="61" spans="1:15">
      <c r="D61" s="139"/>
    </row>
    <row r="62" spans="1:15">
      <c r="D62" s="139"/>
    </row>
    <row r="63" spans="1:15">
      <c r="D63" s="139"/>
    </row>
    <row r="64" spans="1:15">
      <c r="D64" s="139"/>
    </row>
    <row r="65" spans="4:4">
      <c r="D65" s="139"/>
    </row>
    <row r="66" spans="4:4">
      <c r="D66" s="139"/>
    </row>
    <row r="67" spans="4:4">
      <c r="D67" s="139"/>
    </row>
    <row r="68" spans="4:4">
      <c r="D68" s="139"/>
    </row>
    <row r="69" spans="4:4">
      <c r="D69" s="139"/>
    </row>
  </sheetData>
  <mergeCells count="6">
    <mergeCell ref="C6:G6"/>
    <mergeCell ref="E8:E9"/>
    <mergeCell ref="F8:F9"/>
    <mergeCell ref="G8:G9"/>
    <mergeCell ref="B8:C9"/>
    <mergeCell ref="D8:D9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0" fitToWidth="0" orientation="portrait" r:id="rId1"/>
  <headerFooter>
    <oddHeader xml:space="preserve">&amp;R&amp;"-,Bold"
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L70"/>
  <sheetViews>
    <sheetView showGridLines="0" zoomScale="98" zoomScaleNormal="98" zoomScaleSheetLayoutView="100" workbookViewId="0">
      <selection activeCell="AF36" sqref="AF36"/>
    </sheetView>
  </sheetViews>
  <sheetFormatPr defaultRowHeight="15"/>
  <cols>
    <col min="1" max="1" width="0.85546875" style="2" customWidth="1"/>
    <col min="2" max="2" width="10" style="3" customWidth="1"/>
    <col min="3" max="3" width="13" style="3" customWidth="1"/>
    <col min="4" max="4" width="9.7109375" style="3" customWidth="1"/>
    <col min="5" max="5" width="10.85546875" style="4" customWidth="1"/>
    <col min="6" max="6" width="11" style="5" customWidth="1"/>
    <col min="7" max="7" width="10.42578125" style="5" customWidth="1"/>
    <col min="8" max="8" width="11.7109375" style="261" customWidth="1"/>
    <col min="9" max="9" width="12.28515625" style="5" customWidth="1"/>
    <col min="10" max="10" width="10.5703125" style="2" customWidth="1"/>
    <col min="11" max="11" width="10.85546875" style="2" customWidth="1"/>
    <col min="12" max="12" width="0.7109375" style="2" customWidth="1"/>
    <col min="13" max="16384" width="9.140625" style="2"/>
  </cols>
  <sheetData>
    <row r="1" spans="1:12" s="30" customFormat="1" ht="12.95" customHeight="1">
      <c r="B1" s="27"/>
      <c r="C1" s="27"/>
      <c r="D1" s="29"/>
      <c r="E1" s="28"/>
      <c r="F1" s="29"/>
      <c r="J1" s="29"/>
      <c r="K1" s="199" t="s">
        <v>188</v>
      </c>
    </row>
    <row r="2" spans="1:12" s="30" customFormat="1" ht="12.95" customHeight="1">
      <c r="B2" s="27"/>
      <c r="C2" s="27"/>
      <c r="D2" s="29"/>
      <c r="E2" s="28"/>
      <c r="F2" s="29"/>
      <c r="J2" s="29"/>
      <c r="K2" s="75" t="s">
        <v>189</v>
      </c>
    </row>
    <row r="3" spans="1:12" s="30" customFormat="1" ht="12" customHeight="1">
      <c r="B3" s="27"/>
      <c r="C3" s="27"/>
      <c r="D3" s="29"/>
      <c r="E3" s="28"/>
      <c r="F3" s="29"/>
      <c r="G3" s="75"/>
      <c r="J3" s="29"/>
    </row>
    <row r="4" spans="1:12" s="30" customFormat="1" ht="12" customHeight="1">
      <c r="B4" s="27"/>
      <c r="C4" s="27"/>
      <c r="D4" s="29"/>
      <c r="E4" s="28"/>
      <c r="F4" s="29"/>
      <c r="G4" s="75"/>
      <c r="J4" s="29"/>
    </row>
    <row r="5" spans="1:12" s="55" customFormat="1" ht="9.9499999999999993" customHeight="1">
      <c r="B5" s="124"/>
      <c r="C5" s="124"/>
      <c r="D5" s="265"/>
      <c r="E5" s="266"/>
      <c r="F5" s="265"/>
      <c r="G5" s="265"/>
      <c r="H5" s="267"/>
      <c r="I5" s="265"/>
      <c r="J5" s="123"/>
    </row>
    <row r="6" spans="1:12" s="55" customFormat="1" ht="15" customHeight="1">
      <c r="B6" s="70" t="s">
        <v>234</v>
      </c>
      <c r="C6" s="71" t="s">
        <v>241</v>
      </c>
      <c r="D6" s="265"/>
      <c r="E6" s="266"/>
      <c r="F6" s="71"/>
      <c r="G6" s="71"/>
      <c r="H6" s="71"/>
      <c r="I6" s="71"/>
      <c r="J6" s="88"/>
      <c r="K6" s="71"/>
      <c r="L6" s="241"/>
    </row>
    <row r="7" spans="1:12" s="55" customFormat="1" ht="18" customHeight="1">
      <c r="B7" s="89" t="s">
        <v>236</v>
      </c>
      <c r="C7" s="95" t="s">
        <v>242</v>
      </c>
      <c r="D7" s="265"/>
      <c r="E7" s="266"/>
      <c r="F7" s="95"/>
      <c r="G7" s="95"/>
      <c r="H7" s="95"/>
      <c r="I7" s="95"/>
      <c r="J7" s="339"/>
      <c r="K7" s="95"/>
      <c r="L7" s="243"/>
    </row>
    <row r="8" spans="1:12" s="55" customFormat="1" ht="8.1" customHeight="1" thickBot="1">
      <c r="B8" s="282"/>
      <c r="C8" s="282"/>
      <c r="D8" s="311"/>
      <c r="E8" s="310"/>
      <c r="F8" s="311"/>
      <c r="G8" s="311"/>
      <c r="H8" s="312"/>
      <c r="I8" s="311"/>
      <c r="J8" s="172"/>
      <c r="K8" s="125"/>
    </row>
    <row r="9" spans="1:12" s="55" customFormat="1" ht="8.1" customHeight="1" thickTop="1">
      <c r="A9" s="268"/>
      <c r="B9" s="270"/>
      <c r="C9" s="270"/>
      <c r="D9" s="273"/>
      <c r="E9" s="313"/>
      <c r="F9" s="273"/>
      <c r="G9" s="273"/>
      <c r="H9" s="314"/>
      <c r="I9" s="273"/>
      <c r="J9" s="272"/>
      <c r="K9" s="268"/>
      <c r="L9" s="268"/>
    </row>
    <row r="10" spans="1:12" s="55" customFormat="1" ht="30.75" customHeight="1">
      <c r="A10" s="249"/>
      <c r="B10" s="315" t="s">
        <v>238</v>
      </c>
      <c r="C10" s="315"/>
      <c r="D10" s="350" t="s">
        <v>100</v>
      </c>
      <c r="E10" s="259" t="s">
        <v>95</v>
      </c>
      <c r="F10" s="259" t="s">
        <v>239</v>
      </c>
      <c r="G10" s="255" t="s">
        <v>218</v>
      </c>
      <c r="H10" s="255"/>
      <c r="I10" s="255"/>
      <c r="J10" s="256" t="s">
        <v>219</v>
      </c>
      <c r="K10" s="259" t="s">
        <v>220</v>
      </c>
      <c r="L10" s="249"/>
    </row>
    <row r="11" spans="1:12" s="111" customFormat="1" ht="55.5" customHeight="1">
      <c r="A11" s="257"/>
      <c r="B11" s="317"/>
      <c r="C11" s="317"/>
      <c r="D11" s="340"/>
      <c r="E11" s="318"/>
      <c r="F11" s="318"/>
      <c r="G11" s="319" t="s">
        <v>221</v>
      </c>
      <c r="H11" s="319" t="s">
        <v>222</v>
      </c>
      <c r="I11" s="319" t="s">
        <v>240</v>
      </c>
      <c r="J11" s="260"/>
      <c r="K11" s="318"/>
      <c r="L11" s="257"/>
    </row>
    <row r="12" spans="1:12" s="6" customFormat="1" ht="8.1" customHeight="1">
      <c r="A12" s="24"/>
      <c r="B12" s="377"/>
      <c r="C12" s="377"/>
      <c r="D12" s="378"/>
      <c r="E12" s="379"/>
      <c r="F12" s="380"/>
      <c r="G12" s="379"/>
      <c r="H12" s="379"/>
      <c r="I12" s="379"/>
      <c r="J12" s="380"/>
      <c r="K12" s="379"/>
    </row>
    <row r="13" spans="1:12" s="125" customFormat="1" ht="15" customHeight="1">
      <c r="B13" s="68" t="s">
        <v>49</v>
      </c>
      <c r="C13" s="133"/>
      <c r="D13" s="69">
        <v>2015</v>
      </c>
      <c r="E13" s="233">
        <f>SUM(F13:K13)</f>
        <v>599</v>
      </c>
      <c r="F13" s="233">
        <v>102</v>
      </c>
      <c r="G13" s="233">
        <v>3</v>
      </c>
      <c r="H13" s="233">
        <v>28</v>
      </c>
      <c r="I13" s="233">
        <v>358</v>
      </c>
      <c r="J13" s="233">
        <v>16</v>
      </c>
      <c r="K13" s="233">
        <v>92</v>
      </c>
    </row>
    <row r="14" spans="1:12" s="125" customFormat="1" ht="15" customHeight="1">
      <c r="B14" s="133"/>
      <c r="C14" s="133"/>
      <c r="D14" s="69">
        <v>2016</v>
      </c>
      <c r="E14" s="233">
        <f t="shared" ref="E14" si="0">SUM(F14:K14)</f>
        <v>546</v>
      </c>
      <c r="F14" s="233">
        <v>85</v>
      </c>
      <c r="G14" s="233">
        <v>4</v>
      </c>
      <c r="H14" s="233">
        <v>20</v>
      </c>
      <c r="I14" s="233">
        <v>228</v>
      </c>
      <c r="J14" s="233">
        <v>17</v>
      </c>
      <c r="K14" s="233">
        <v>192</v>
      </c>
    </row>
    <row r="15" spans="1:12" s="125" customFormat="1" ht="15" customHeight="1">
      <c r="B15" s="133"/>
      <c r="C15" s="133"/>
      <c r="D15" s="69">
        <v>2017</v>
      </c>
      <c r="E15" s="233">
        <f>SUM(F15:K15)</f>
        <v>471</v>
      </c>
      <c r="F15" s="233">
        <f>F19+F23+F27</f>
        <v>87</v>
      </c>
      <c r="G15" s="233">
        <f t="shared" ref="G15:K15" si="1">G19+G23+G27</f>
        <v>5</v>
      </c>
      <c r="H15" s="233">
        <f t="shared" si="1"/>
        <v>11</v>
      </c>
      <c r="I15" s="233">
        <f t="shared" si="1"/>
        <v>186</v>
      </c>
      <c r="J15" s="233">
        <f>J23</f>
        <v>1</v>
      </c>
      <c r="K15" s="233">
        <f t="shared" si="1"/>
        <v>181</v>
      </c>
    </row>
    <row r="16" spans="1:12" s="125" customFormat="1" ht="15" customHeight="1">
      <c r="B16" s="133"/>
      <c r="C16" s="133"/>
      <c r="D16" s="69"/>
      <c r="E16" s="233"/>
      <c r="F16" s="233"/>
      <c r="G16" s="233"/>
      <c r="H16" s="233"/>
      <c r="I16" s="233"/>
      <c r="J16" s="233"/>
      <c r="K16" s="233"/>
    </row>
    <row r="17" spans="1:12" s="125" customFormat="1" ht="15" customHeight="1">
      <c r="A17" s="55"/>
      <c r="B17" s="62" t="s">
        <v>78</v>
      </c>
      <c r="C17" s="91"/>
      <c r="D17" s="170">
        <v>2015</v>
      </c>
      <c r="E17" s="237">
        <f t="shared" ref="E17:E18" si="2">SUM(F17:K17)</f>
        <v>148</v>
      </c>
      <c r="F17" s="237">
        <v>24</v>
      </c>
      <c r="G17" s="237">
        <v>1</v>
      </c>
      <c r="H17" s="237">
        <v>6</v>
      </c>
      <c r="I17" s="237">
        <v>84</v>
      </c>
      <c r="J17" s="237">
        <v>4</v>
      </c>
      <c r="K17" s="237">
        <v>29</v>
      </c>
    </row>
    <row r="18" spans="1:12" s="125" customFormat="1" ht="15" customHeight="1">
      <c r="B18" s="62"/>
      <c r="C18" s="91"/>
      <c r="D18" s="170">
        <v>2016</v>
      </c>
      <c r="E18" s="237">
        <f t="shared" si="2"/>
        <v>120</v>
      </c>
      <c r="F18" s="237">
        <v>23</v>
      </c>
      <c r="G18" s="371" t="s">
        <v>51</v>
      </c>
      <c r="H18" s="237">
        <v>2</v>
      </c>
      <c r="I18" s="237">
        <v>44</v>
      </c>
      <c r="J18" s="237">
        <v>6</v>
      </c>
      <c r="K18" s="237">
        <v>45</v>
      </c>
    </row>
    <row r="19" spans="1:12" s="125" customFormat="1" ht="15" customHeight="1">
      <c r="B19" s="62"/>
      <c r="C19" s="91"/>
      <c r="D19" s="170">
        <v>2017</v>
      </c>
      <c r="E19" s="237">
        <f>SUM(F19:K19)</f>
        <v>98</v>
      </c>
      <c r="F19" s="237">
        <f>7+11</f>
        <v>18</v>
      </c>
      <c r="G19" s="237">
        <v>1</v>
      </c>
      <c r="H19" s="237">
        <v>4</v>
      </c>
      <c r="I19" s="237">
        <v>44</v>
      </c>
      <c r="J19" s="371" t="s">
        <v>51</v>
      </c>
      <c r="K19" s="237">
        <f>2+1+9+1+18</f>
        <v>31</v>
      </c>
    </row>
    <row r="20" spans="1:12" s="125" customFormat="1" ht="15" customHeight="1">
      <c r="B20" s="62"/>
      <c r="C20" s="91"/>
      <c r="D20" s="170"/>
      <c r="E20" s="237"/>
      <c r="F20" s="237"/>
      <c r="G20" s="237"/>
      <c r="H20" s="237"/>
      <c r="I20" s="237"/>
      <c r="J20" s="237"/>
      <c r="K20" s="237"/>
    </row>
    <row r="21" spans="1:12" s="125" customFormat="1" ht="15" customHeight="1">
      <c r="B21" s="62" t="s">
        <v>79</v>
      </c>
      <c r="C21" s="91"/>
      <c r="D21" s="170">
        <v>2015</v>
      </c>
      <c r="E21" s="237">
        <f t="shared" ref="E21:E22" si="3">SUM(F21:K21)</f>
        <v>370</v>
      </c>
      <c r="F21" s="237">
        <v>59</v>
      </c>
      <c r="G21" s="237">
        <v>2</v>
      </c>
      <c r="H21" s="237">
        <v>21</v>
      </c>
      <c r="I21" s="237">
        <v>232</v>
      </c>
      <c r="J21" s="237">
        <v>9</v>
      </c>
      <c r="K21" s="237">
        <v>47</v>
      </c>
    </row>
    <row r="22" spans="1:12" s="125" customFormat="1" ht="15" customHeight="1">
      <c r="A22" s="55"/>
      <c r="B22" s="62"/>
      <c r="C22" s="91"/>
      <c r="D22" s="170">
        <v>2016</v>
      </c>
      <c r="E22" s="237">
        <f t="shared" si="3"/>
        <v>361</v>
      </c>
      <c r="F22" s="237">
        <v>46</v>
      </c>
      <c r="G22" s="237">
        <v>4</v>
      </c>
      <c r="H22" s="237">
        <v>17</v>
      </c>
      <c r="I22" s="237">
        <v>161</v>
      </c>
      <c r="J22" s="237">
        <v>8</v>
      </c>
      <c r="K22" s="237">
        <v>125</v>
      </c>
    </row>
    <row r="23" spans="1:12" s="125" customFormat="1" ht="15" customHeight="1">
      <c r="B23" s="62"/>
      <c r="C23" s="91"/>
      <c r="D23" s="170">
        <v>2017</v>
      </c>
      <c r="E23" s="237">
        <f>SUM(F23:K23)</f>
        <v>297</v>
      </c>
      <c r="F23" s="237">
        <f>47+4</f>
        <v>51</v>
      </c>
      <c r="G23" s="237">
        <v>3</v>
      </c>
      <c r="H23" s="237">
        <v>5</v>
      </c>
      <c r="I23" s="237">
        <v>106</v>
      </c>
      <c r="J23" s="237">
        <v>1</v>
      </c>
      <c r="K23" s="237">
        <f>9+5+73+44</f>
        <v>131</v>
      </c>
    </row>
    <row r="24" spans="1:12" s="125" customFormat="1" ht="15" customHeight="1">
      <c r="B24" s="62"/>
      <c r="C24" s="91"/>
      <c r="D24" s="170"/>
      <c r="E24" s="237"/>
      <c r="F24" s="237"/>
      <c r="G24" s="237"/>
      <c r="H24" s="237"/>
      <c r="I24" s="237"/>
      <c r="J24" s="237"/>
      <c r="K24" s="237"/>
    </row>
    <row r="25" spans="1:12" s="125" customFormat="1" ht="15" customHeight="1">
      <c r="A25" s="55"/>
      <c r="B25" s="62" t="s">
        <v>80</v>
      </c>
      <c r="C25" s="91"/>
      <c r="D25" s="170">
        <v>2015</v>
      </c>
      <c r="E25" s="237">
        <f t="shared" ref="E25:E26" si="4">SUM(F25:K25)</f>
        <v>81</v>
      </c>
      <c r="F25" s="237">
        <v>19</v>
      </c>
      <c r="G25" s="371" t="s">
        <v>51</v>
      </c>
      <c r="H25" s="237">
        <v>1</v>
      </c>
      <c r="I25" s="237">
        <v>42</v>
      </c>
      <c r="J25" s="237">
        <v>3</v>
      </c>
      <c r="K25" s="237">
        <v>16</v>
      </c>
    </row>
    <row r="26" spans="1:12" s="125" customFormat="1" ht="15" customHeight="1">
      <c r="B26" s="62"/>
      <c r="C26" s="91"/>
      <c r="D26" s="170">
        <v>2016</v>
      </c>
      <c r="E26" s="237">
        <f t="shared" si="4"/>
        <v>65</v>
      </c>
      <c r="F26" s="237">
        <v>16</v>
      </c>
      <c r="G26" s="371" t="s">
        <v>51</v>
      </c>
      <c r="H26" s="237">
        <v>1</v>
      </c>
      <c r="I26" s="237">
        <v>23</v>
      </c>
      <c r="J26" s="237">
        <v>3</v>
      </c>
      <c r="K26" s="237">
        <v>22</v>
      </c>
    </row>
    <row r="27" spans="1:12" s="125" customFormat="1" ht="15" customHeight="1">
      <c r="B27" s="62"/>
      <c r="C27" s="91"/>
      <c r="D27" s="170">
        <v>2017</v>
      </c>
      <c r="E27" s="237">
        <f>SUM(F27:K27)</f>
        <v>76</v>
      </c>
      <c r="F27" s="237">
        <v>18</v>
      </c>
      <c r="G27" s="237">
        <v>1</v>
      </c>
      <c r="H27" s="237">
        <v>2</v>
      </c>
      <c r="I27" s="237">
        <v>36</v>
      </c>
      <c r="J27" s="371" t="s">
        <v>51</v>
      </c>
      <c r="K27" s="237">
        <f>1+13+5</f>
        <v>19</v>
      </c>
    </row>
    <row r="28" spans="1:12" s="125" customFormat="1" ht="8.1" customHeight="1" thickBot="1">
      <c r="A28" s="283"/>
      <c r="B28" s="64"/>
      <c r="C28" s="363"/>
      <c r="D28" s="149"/>
      <c r="E28" s="264"/>
      <c r="F28" s="264"/>
      <c r="G28" s="264"/>
      <c r="H28" s="264"/>
      <c r="I28" s="264"/>
      <c r="J28" s="264"/>
      <c r="K28" s="264"/>
    </row>
    <row r="29" spans="1:12" s="125" customFormat="1" ht="8.1" customHeight="1">
      <c r="C29" s="133"/>
      <c r="D29" s="69"/>
      <c r="E29" s="233"/>
      <c r="F29" s="233"/>
      <c r="G29" s="233"/>
      <c r="H29" s="233"/>
      <c r="I29" s="233"/>
      <c r="J29" s="233"/>
      <c r="K29" s="233"/>
      <c r="L29" s="384"/>
    </row>
    <row r="30" spans="1:12" s="125" customFormat="1" ht="15" customHeight="1">
      <c r="B30" s="385" t="s">
        <v>50</v>
      </c>
      <c r="C30" s="133"/>
      <c r="D30" s="69">
        <v>2015</v>
      </c>
      <c r="E30" s="233">
        <f t="shared" ref="E30:E31" si="5">SUM(F30:K30)</f>
        <v>5486</v>
      </c>
      <c r="F30" s="233">
        <v>1150</v>
      </c>
      <c r="G30" s="233">
        <v>154</v>
      </c>
      <c r="H30" s="233">
        <v>494</v>
      </c>
      <c r="I30" s="233">
        <v>2488</v>
      </c>
      <c r="J30" s="233">
        <v>231</v>
      </c>
      <c r="K30" s="233">
        <v>969</v>
      </c>
    </row>
    <row r="31" spans="1:12" s="125" customFormat="1" ht="15" customHeight="1">
      <c r="B31" s="133"/>
      <c r="C31" s="133"/>
      <c r="D31" s="69">
        <v>2016</v>
      </c>
      <c r="E31" s="233">
        <f t="shared" si="5"/>
        <v>5078</v>
      </c>
      <c r="F31" s="233">
        <v>917</v>
      </c>
      <c r="G31" s="233">
        <v>110</v>
      </c>
      <c r="H31" s="233">
        <v>449</v>
      </c>
      <c r="I31" s="233">
        <v>2401</v>
      </c>
      <c r="J31" s="233">
        <v>191</v>
      </c>
      <c r="K31" s="233">
        <v>1010</v>
      </c>
    </row>
    <row r="32" spans="1:12" s="125" customFormat="1" ht="15" customHeight="1">
      <c r="B32" s="133"/>
      <c r="C32" s="133"/>
      <c r="D32" s="69">
        <v>2017</v>
      </c>
      <c r="E32" s="233">
        <f>F32+G32+H32+I32+J32+K32</f>
        <v>4473</v>
      </c>
      <c r="F32" s="233">
        <f>F36+F40+F44+F48+F52</f>
        <v>868</v>
      </c>
      <c r="G32" s="233">
        <f t="shared" ref="G32:L32" si="6">G36+G40+G44+G48+G52</f>
        <v>66</v>
      </c>
      <c r="H32" s="233">
        <f t="shared" si="6"/>
        <v>356</v>
      </c>
      <c r="I32" s="233">
        <f t="shared" si="6"/>
        <v>2322</v>
      </c>
      <c r="J32" s="233">
        <f>J36+J40+J44+J48</f>
        <v>10</v>
      </c>
      <c r="K32" s="233">
        <f t="shared" si="6"/>
        <v>851</v>
      </c>
      <c r="L32" s="386">
        <f t="shared" si="6"/>
        <v>0</v>
      </c>
    </row>
    <row r="33" spans="1:12" s="125" customFormat="1" ht="15" customHeight="1">
      <c r="B33" s="133"/>
      <c r="C33" s="133"/>
      <c r="D33" s="69"/>
      <c r="E33" s="233"/>
      <c r="F33" s="233"/>
      <c r="G33" s="233"/>
      <c r="H33" s="233"/>
      <c r="I33" s="233"/>
      <c r="J33" s="233"/>
      <c r="K33" s="233"/>
    </row>
    <row r="34" spans="1:12" s="55" customFormat="1" ht="15" customHeight="1">
      <c r="B34" s="282" t="s">
        <v>87</v>
      </c>
      <c r="C34" s="298"/>
      <c r="D34" s="170">
        <v>2015</v>
      </c>
      <c r="E34" s="237">
        <f t="shared" ref="E34:E35" si="7">SUM(F34:K34)</f>
        <v>494</v>
      </c>
      <c r="F34" s="371">
        <v>113</v>
      </c>
      <c r="G34" s="371">
        <v>2</v>
      </c>
      <c r="H34" s="237">
        <v>56</v>
      </c>
      <c r="I34" s="371">
        <v>213</v>
      </c>
      <c r="J34" s="371">
        <v>12</v>
      </c>
      <c r="K34" s="371">
        <v>98</v>
      </c>
      <c r="L34" s="125"/>
    </row>
    <row r="35" spans="1:12" s="55" customFormat="1" ht="15" customHeight="1">
      <c r="B35" s="387"/>
      <c r="C35" s="298"/>
      <c r="D35" s="170">
        <v>2016</v>
      </c>
      <c r="E35" s="237">
        <f t="shared" si="7"/>
        <v>448</v>
      </c>
      <c r="F35" s="371">
        <v>55</v>
      </c>
      <c r="G35" s="371">
        <v>7</v>
      </c>
      <c r="H35" s="237">
        <v>39</v>
      </c>
      <c r="I35" s="371">
        <v>224</v>
      </c>
      <c r="J35" s="371">
        <v>15</v>
      </c>
      <c r="K35" s="371">
        <v>108</v>
      </c>
      <c r="L35" s="125"/>
    </row>
    <row r="36" spans="1:12" s="55" customFormat="1" ht="15" customHeight="1">
      <c r="A36" s="125"/>
      <c r="B36" s="282"/>
      <c r="C36" s="298"/>
      <c r="D36" s="170">
        <v>2017</v>
      </c>
      <c r="E36" s="237">
        <f>F36+G36+H36+I36+J36+K36</f>
        <v>432</v>
      </c>
      <c r="F36" s="371">
        <f>59+22</f>
        <v>81</v>
      </c>
      <c r="G36" s="371">
        <f>2+4</f>
        <v>6</v>
      </c>
      <c r="H36" s="237">
        <v>43</v>
      </c>
      <c r="I36" s="371">
        <v>225</v>
      </c>
      <c r="J36" s="371">
        <v>3</v>
      </c>
      <c r="K36" s="371">
        <f>6+10+30+1+27</f>
        <v>74</v>
      </c>
      <c r="L36" s="125"/>
    </row>
    <row r="37" spans="1:12" s="55" customFormat="1" ht="15" customHeight="1">
      <c r="C37" s="327"/>
      <c r="D37" s="170"/>
      <c r="E37" s="237"/>
      <c r="F37" s="371"/>
      <c r="G37" s="371"/>
      <c r="H37" s="237"/>
      <c r="I37" s="371"/>
      <c r="J37" s="371"/>
      <c r="K37" s="371"/>
      <c r="L37" s="125"/>
    </row>
    <row r="38" spans="1:12" s="55" customFormat="1" ht="15" customHeight="1">
      <c r="B38" s="282" t="s">
        <v>88</v>
      </c>
      <c r="C38" s="298"/>
      <c r="D38" s="170">
        <v>2015</v>
      </c>
      <c r="E38" s="237">
        <f t="shared" ref="E38:E39" si="8">SUM(F38:K38)</f>
        <v>418</v>
      </c>
      <c r="F38" s="371">
        <v>162</v>
      </c>
      <c r="G38" s="371">
        <v>12</v>
      </c>
      <c r="H38" s="237">
        <v>31</v>
      </c>
      <c r="I38" s="371">
        <v>116</v>
      </c>
      <c r="J38" s="371">
        <v>23</v>
      </c>
      <c r="K38" s="371">
        <v>74</v>
      </c>
      <c r="L38" s="125"/>
    </row>
    <row r="39" spans="1:12" s="55" customFormat="1" ht="15" customHeight="1">
      <c r="B39" s="387"/>
      <c r="C39" s="298"/>
      <c r="D39" s="170">
        <v>2016</v>
      </c>
      <c r="E39" s="237">
        <f t="shared" si="8"/>
        <v>370</v>
      </c>
      <c r="F39" s="371">
        <v>118</v>
      </c>
      <c r="G39" s="371">
        <v>8</v>
      </c>
      <c r="H39" s="237">
        <v>32</v>
      </c>
      <c r="I39" s="371">
        <v>136</v>
      </c>
      <c r="J39" s="371">
        <v>10</v>
      </c>
      <c r="K39" s="371">
        <v>66</v>
      </c>
      <c r="L39" s="125"/>
    </row>
    <row r="40" spans="1:12" s="55" customFormat="1" ht="15" customHeight="1">
      <c r="A40" s="125"/>
      <c r="B40" s="282"/>
      <c r="C40" s="298"/>
      <c r="D40" s="170">
        <v>2017</v>
      </c>
      <c r="E40" s="237">
        <f>F40+G40+H40+I40+J40+K40</f>
        <v>335</v>
      </c>
      <c r="F40" s="371">
        <f>100+23</f>
        <v>123</v>
      </c>
      <c r="G40" s="371">
        <v>6</v>
      </c>
      <c r="H40" s="237">
        <v>17</v>
      </c>
      <c r="I40" s="371">
        <v>107</v>
      </c>
      <c r="J40" s="371">
        <v>1</v>
      </c>
      <c r="K40" s="371">
        <f>8+9+29+35</f>
        <v>81</v>
      </c>
      <c r="L40" s="125"/>
    </row>
    <row r="41" spans="1:12" s="55" customFormat="1" ht="15" customHeight="1">
      <c r="C41" s="327"/>
      <c r="D41" s="170"/>
      <c r="E41" s="237"/>
      <c r="F41" s="371"/>
      <c r="G41" s="371"/>
      <c r="H41" s="237"/>
      <c r="I41" s="371"/>
      <c r="J41" s="371"/>
      <c r="K41" s="371"/>
      <c r="L41" s="125"/>
    </row>
    <row r="42" spans="1:12" s="55" customFormat="1" ht="15" customHeight="1">
      <c r="B42" s="282" t="s">
        <v>89</v>
      </c>
      <c r="C42" s="298"/>
      <c r="D42" s="170">
        <v>2015</v>
      </c>
      <c r="E42" s="237">
        <f t="shared" ref="E42:E43" si="9">SUM(F42:K42)</f>
        <v>2091</v>
      </c>
      <c r="F42" s="371">
        <v>406</v>
      </c>
      <c r="G42" s="371">
        <v>55</v>
      </c>
      <c r="H42" s="237">
        <v>166</v>
      </c>
      <c r="I42" s="371">
        <v>963</v>
      </c>
      <c r="J42" s="371">
        <v>106</v>
      </c>
      <c r="K42" s="371">
        <v>395</v>
      </c>
      <c r="L42" s="125"/>
    </row>
    <row r="43" spans="1:12" s="55" customFormat="1" ht="15" customHeight="1">
      <c r="B43" s="387"/>
      <c r="C43" s="298"/>
      <c r="D43" s="170">
        <v>2016</v>
      </c>
      <c r="E43" s="237">
        <f t="shared" si="9"/>
        <v>1872</v>
      </c>
      <c r="F43" s="371">
        <v>336</v>
      </c>
      <c r="G43" s="371">
        <v>58</v>
      </c>
      <c r="H43" s="237">
        <v>191</v>
      </c>
      <c r="I43" s="371">
        <v>917</v>
      </c>
      <c r="J43" s="371">
        <v>61</v>
      </c>
      <c r="K43" s="371">
        <v>309</v>
      </c>
      <c r="L43" s="125"/>
    </row>
    <row r="44" spans="1:12" s="55" customFormat="1" ht="15" customHeight="1">
      <c r="A44" s="125"/>
      <c r="B44" s="282"/>
      <c r="C44" s="298"/>
      <c r="D44" s="170">
        <v>2017</v>
      </c>
      <c r="E44" s="237">
        <f>F44+G44+H44+I44+J44+K44</f>
        <v>1581</v>
      </c>
      <c r="F44" s="371">
        <f>268+37</f>
        <v>305</v>
      </c>
      <c r="G44" s="371">
        <f>1+21</f>
        <v>22</v>
      </c>
      <c r="H44" s="237">
        <v>149</v>
      </c>
      <c r="I44" s="371">
        <v>817</v>
      </c>
      <c r="J44" s="371">
        <v>2</v>
      </c>
      <c r="K44" s="371">
        <f>27+48+129+2+79+1</f>
        <v>286</v>
      </c>
      <c r="L44" s="125"/>
    </row>
    <row r="45" spans="1:12" s="55" customFormat="1" ht="15" customHeight="1">
      <c r="C45" s="327"/>
      <c r="D45" s="170"/>
      <c r="E45" s="237"/>
      <c r="F45" s="371"/>
      <c r="G45" s="371"/>
      <c r="H45" s="237"/>
      <c r="I45" s="371"/>
      <c r="J45" s="371"/>
      <c r="K45" s="371"/>
      <c r="L45" s="125"/>
    </row>
    <row r="46" spans="1:12" s="55" customFormat="1" ht="15" customHeight="1">
      <c r="B46" s="282" t="s">
        <v>90</v>
      </c>
      <c r="C46" s="298"/>
      <c r="D46" s="170">
        <v>2015</v>
      </c>
      <c r="E46" s="237">
        <f t="shared" ref="E46:E47" si="10">SUM(F46:K46)</f>
        <v>902</v>
      </c>
      <c r="F46" s="371">
        <v>170</v>
      </c>
      <c r="G46" s="371">
        <v>52</v>
      </c>
      <c r="H46" s="237">
        <v>82</v>
      </c>
      <c r="I46" s="371">
        <v>479</v>
      </c>
      <c r="J46" s="371">
        <v>17</v>
      </c>
      <c r="K46" s="371">
        <v>102</v>
      </c>
      <c r="L46" s="125"/>
    </row>
    <row r="47" spans="1:12" s="55" customFormat="1" ht="15" customHeight="1">
      <c r="A47" s="124"/>
      <c r="B47" s="387"/>
      <c r="C47" s="298"/>
      <c r="D47" s="170">
        <v>2016</v>
      </c>
      <c r="E47" s="237">
        <f t="shared" si="10"/>
        <v>988</v>
      </c>
      <c r="F47" s="371">
        <v>198</v>
      </c>
      <c r="G47" s="371">
        <v>25</v>
      </c>
      <c r="H47" s="237">
        <v>71</v>
      </c>
      <c r="I47" s="371">
        <v>497</v>
      </c>
      <c r="J47" s="371">
        <v>28</v>
      </c>
      <c r="K47" s="371">
        <v>169</v>
      </c>
      <c r="L47" s="125"/>
    </row>
    <row r="48" spans="1:12" s="55" customFormat="1" ht="15" customHeight="1">
      <c r="A48" s="125"/>
      <c r="B48" s="282"/>
      <c r="C48" s="298"/>
      <c r="D48" s="170">
        <v>2017</v>
      </c>
      <c r="E48" s="237">
        <f>F48+G48+H48+I48+J48+K48</f>
        <v>948</v>
      </c>
      <c r="F48" s="371">
        <f>115+50</f>
        <v>165</v>
      </c>
      <c r="G48" s="371">
        <f>1+14</f>
        <v>15</v>
      </c>
      <c r="H48" s="237">
        <v>81</v>
      </c>
      <c r="I48" s="371">
        <v>544</v>
      </c>
      <c r="J48" s="371">
        <v>4</v>
      </c>
      <c r="K48" s="371">
        <f>1+9+20+46+63</f>
        <v>139</v>
      </c>
      <c r="L48" s="125"/>
    </row>
    <row r="49" spans="1:12" s="55" customFormat="1" ht="15" customHeight="1">
      <c r="C49" s="327"/>
      <c r="D49" s="170"/>
      <c r="E49" s="237"/>
      <c r="F49" s="371"/>
      <c r="G49" s="371"/>
      <c r="H49" s="237"/>
      <c r="I49" s="371"/>
      <c r="J49" s="371"/>
      <c r="K49" s="371"/>
      <c r="L49" s="125"/>
    </row>
    <row r="50" spans="1:12" s="92" customFormat="1" ht="15" customHeight="1">
      <c r="A50" s="55"/>
      <c r="B50" s="282" t="s">
        <v>91</v>
      </c>
      <c r="C50" s="298"/>
      <c r="D50" s="170">
        <v>2015</v>
      </c>
      <c r="E50" s="237">
        <f t="shared" ref="E50:E51" si="11">SUM(F50:K50)</f>
        <v>1581</v>
      </c>
      <c r="F50" s="371">
        <v>299</v>
      </c>
      <c r="G50" s="371">
        <v>33</v>
      </c>
      <c r="H50" s="237">
        <v>159</v>
      </c>
      <c r="I50" s="371">
        <v>717</v>
      </c>
      <c r="J50" s="371">
        <v>73</v>
      </c>
      <c r="K50" s="371">
        <v>300</v>
      </c>
    </row>
    <row r="51" spans="1:12" s="125" customFormat="1" ht="15" customHeight="1">
      <c r="A51" s="55"/>
      <c r="B51" s="387"/>
      <c r="C51" s="298"/>
      <c r="D51" s="170">
        <v>2016</v>
      </c>
      <c r="E51" s="237">
        <f t="shared" si="11"/>
        <v>1400</v>
      </c>
      <c r="F51" s="371">
        <v>210</v>
      </c>
      <c r="G51" s="371">
        <v>12</v>
      </c>
      <c r="H51" s="237">
        <v>116</v>
      </c>
      <c r="I51" s="371">
        <v>627</v>
      </c>
      <c r="J51" s="371">
        <v>77</v>
      </c>
      <c r="K51" s="371">
        <v>358</v>
      </c>
    </row>
    <row r="52" spans="1:12" s="55" customFormat="1" ht="15" customHeight="1">
      <c r="A52" s="125"/>
      <c r="B52" s="282"/>
      <c r="C52" s="298"/>
      <c r="D52" s="170">
        <v>2017</v>
      </c>
      <c r="E52" s="237">
        <f>F52+G52+H52+I52+K52</f>
        <v>1177</v>
      </c>
      <c r="F52" s="371">
        <f>141+53</f>
        <v>194</v>
      </c>
      <c r="G52" s="371">
        <v>17</v>
      </c>
      <c r="H52" s="237">
        <v>66</v>
      </c>
      <c r="I52" s="371">
        <v>629</v>
      </c>
      <c r="J52" s="371" t="s">
        <v>51</v>
      </c>
      <c r="K52" s="371">
        <f>5+9+15+118+3+119+2</f>
        <v>271</v>
      </c>
      <c r="L52" s="125"/>
    </row>
    <row r="53" spans="1:12" ht="8.1" customHeight="1" thickBot="1">
      <c r="A53" s="34"/>
      <c r="B53" s="78"/>
      <c r="C53" s="388"/>
      <c r="D53" s="140"/>
      <c r="E53" s="239"/>
      <c r="F53" s="389"/>
      <c r="G53" s="389"/>
      <c r="H53" s="239"/>
      <c r="I53" s="389"/>
      <c r="J53" s="239"/>
      <c r="K53" s="389"/>
      <c r="L53" s="34"/>
    </row>
    <row r="54" spans="1:12">
      <c r="B54" s="346"/>
      <c r="C54" s="346"/>
      <c r="D54" s="346"/>
      <c r="E54" s="245"/>
      <c r="F54" s="246"/>
      <c r="G54" s="7"/>
      <c r="H54" s="7"/>
      <c r="I54" s="348"/>
      <c r="J54" s="247"/>
      <c r="K54" s="8" t="s">
        <v>104</v>
      </c>
    </row>
    <row r="55" spans="1:12">
      <c r="B55" s="7"/>
      <c r="C55" s="7"/>
      <c r="D55" s="7"/>
      <c r="E55" s="349"/>
      <c r="F55" s="347"/>
      <c r="G55" s="346"/>
      <c r="H55" s="346"/>
      <c r="I55" s="347"/>
      <c r="J55" s="246"/>
      <c r="K55" s="41" t="s">
        <v>1</v>
      </c>
    </row>
    <row r="56" spans="1:12">
      <c r="B56" s="2"/>
      <c r="C56" s="2"/>
    </row>
    <row r="57" spans="1:12">
      <c r="B57" s="2"/>
      <c r="C57" s="2"/>
    </row>
    <row r="58" spans="1:12">
      <c r="B58" s="2"/>
      <c r="C58" s="2"/>
    </row>
    <row r="59" spans="1:12">
      <c r="B59" s="2"/>
      <c r="C59" s="2"/>
    </row>
    <row r="60" spans="1:12">
      <c r="B60" s="2"/>
      <c r="C60" s="2"/>
    </row>
    <row r="61" spans="1:12">
      <c r="B61" s="2"/>
      <c r="C61" s="2"/>
    </row>
    <row r="62" spans="1:12">
      <c r="B62" s="2"/>
      <c r="C62" s="2"/>
    </row>
    <row r="63" spans="1:12">
      <c r="B63" s="2"/>
      <c r="C63" s="2"/>
    </row>
    <row r="64" spans="1:12">
      <c r="B64" s="2"/>
      <c r="C64" s="2"/>
    </row>
    <row r="65" spans="2:3">
      <c r="B65" s="2"/>
      <c r="C65" s="2"/>
    </row>
    <row r="66" spans="2:3">
      <c r="B66" s="2"/>
      <c r="C66" s="2"/>
    </row>
    <row r="67" spans="2:3">
      <c r="B67" s="2"/>
      <c r="C67" s="2"/>
    </row>
    <row r="68" spans="2:3">
      <c r="B68" s="2"/>
      <c r="C68" s="2"/>
    </row>
    <row r="69" spans="2:3">
      <c r="B69" s="2"/>
      <c r="C69" s="2"/>
    </row>
    <row r="70" spans="2:3">
      <c r="B70" s="2"/>
      <c r="C70" s="2"/>
    </row>
  </sheetData>
  <mergeCells count="6">
    <mergeCell ref="B10:C11"/>
    <mergeCell ref="E10:E11"/>
    <mergeCell ref="F10:F11"/>
    <mergeCell ref="G10:I10"/>
    <mergeCell ref="J10:J11"/>
    <mergeCell ref="K10:K11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5" fitToWidth="0" orientation="portrait" r:id="rId1"/>
  <headerFooter>
    <oddHeader xml:space="preserve">&amp;R&amp;"-,Bold"
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N54"/>
  <sheetViews>
    <sheetView showGridLines="0" zoomScale="80" zoomScaleNormal="80" zoomScaleSheetLayoutView="100" workbookViewId="0">
      <selection activeCell="AF36" sqref="AF36"/>
    </sheetView>
  </sheetViews>
  <sheetFormatPr defaultRowHeight="15"/>
  <cols>
    <col min="1" max="1" width="1" style="2" customWidth="1"/>
    <col min="2" max="2" width="10.28515625" style="3" customWidth="1"/>
    <col min="3" max="3" width="12" style="3" customWidth="1"/>
    <col min="4" max="4" width="10" style="3" customWidth="1"/>
    <col min="5" max="5" width="10.42578125" style="4" customWidth="1"/>
    <col min="6" max="6" width="11.7109375" style="5" customWidth="1"/>
    <col min="7" max="7" width="10.5703125" style="5" customWidth="1"/>
    <col min="8" max="8" width="10.85546875" style="261" customWidth="1"/>
    <col min="9" max="9" width="12.28515625" style="5" customWidth="1"/>
    <col min="10" max="10" width="10.42578125" style="2" customWidth="1"/>
    <col min="11" max="11" width="11.7109375" style="2" customWidth="1"/>
    <col min="12" max="12" width="0.85546875" style="2" customWidth="1"/>
    <col min="13" max="16384" width="9.140625" style="2"/>
  </cols>
  <sheetData>
    <row r="1" spans="1:12" s="30" customFormat="1" ht="12.95" customHeight="1">
      <c r="B1" s="27"/>
      <c r="C1" s="27"/>
      <c r="D1" s="29"/>
      <c r="E1" s="28"/>
      <c r="F1" s="29"/>
      <c r="J1" s="29"/>
      <c r="K1" s="199" t="s">
        <v>188</v>
      </c>
    </row>
    <row r="2" spans="1:12" s="30" customFormat="1" ht="12.95" customHeight="1">
      <c r="B2" s="27"/>
      <c r="C2" s="27"/>
      <c r="D2" s="29"/>
      <c r="E2" s="28"/>
      <c r="F2" s="29"/>
      <c r="J2" s="29"/>
      <c r="K2" s="75" t="s">
        <v>189</v>
      </c>
    </row>
    <row r="3" spans="1:12" s="30" customFormat="1" ht="12" customHeight="1">
      <c r="B3" s="27"/>
      <c r="C3" s="27"/>
      <c r="D3" s="29"/>
      <c r="E3" s="28"/>
      <c r="F3" s="29"/>
      <c r="G3" s="75"/>
      <c r="J3" s="29"/>
    </row>
    <row r="4" spans="1:12" s="30" customFormat="1" ht="12" customHeight="1">
      <c r="B4" s="27"/>
      <c r="C4" s="27"/>
      <c r="D4" s="29"/>
      <c r="E4" s="28"/>
      <c r="F4" s="29"/>
      <c r="G4" s="75"/>
      <c r="J4" s="29"/>
    </row>
    <row r="5" spans="1:12" s="55" customFormat="1" ht="9.9499999999999993" customHeight="1">
      <c r="B5" s="124"/>
      <c r="C5" s="124"/>
      <c r="D5" s="265"/>
      <c r="E5" s="266"/>
      <c r="F5" s="265"/>
      <c r="G5" s="265"/>
      <c r="H5" s="267"/>
      <c r="I5" s="265"/>
      <c r="J5" s="123"/>
    </row>
    <row r="6" spans="1:12" s="55" customFormat="1" ht="15" customHeight="1">
      <c r="B6" s="70" t="s">
        <v>234</v>
      </c>
      <c r="C6" s="71" t="s">
        <v>241</v>
      </c>
      <c r="D6" s="265"/>
      <c r="E6" s="266"/>
      <c r="F6" s="71"/>
      <c r="G6" s="71"/>
      <c r="H6" s="71"/>
      <c r="I6" s="71"/>
      <c r="J6" s="88"/>
      <c r="K6" s="71"/>
      <c r="L6" s="241"/>
    </row>
    <row r="7" spans="1:12" s="55" customFormat="1" ht="18" customHeight="1">
      <c r="B7" s="89" t="s">
        <v>236</v>
      </c>
      <c r="C7" s="95" t="s">
        <v>242</v>
      </c>
      <c r="D7" s="265"/>
      <c r="E7" s="266"/>
      <c r="F7" s="95"/>
      <c r="G7" s="95"/>
      <c r="H7" s="95"/>
      <c r="I7" s="95"/>
      <c r="J7" s="339"/>
      <c r="K7" s="95"/>
      <c r="L7" s="243"/>
    </row>
    <row r="8" spans="1:12" s="55" customFormat="1" ht="8.1" customHeight="1" thickBot="1">
      <c r="B8" s="282"/>
      <c r="C8" s="282"/>
      <c r="D8" s="311"/>
      <c r="E8" s="310"/>
      <c r="F8" s="311"/>
      <c r="G8" s="311"/>
      <c r="H8" s="312"/>
      <c r="I8" s="311"/>
      <c r="J8" s="172"/>
      <c r="K8" s="125"/>
    </row>
    <row r="9" spans="1:12" s="55" customFormat="1" ht="8.1" customHeight="1" thickTop="1">
      <c r="A9" s="268"/>
      <c r="B9" s="270"/>
      <c r="C9" s="270"/>
      <c r="D9" s="273"/>
      <c r="E9" s="313"/>
      <c r="F9" s="273"/>
      <c r="G9" s="273"/>
      <c r="H9" s="314"/>
      <c r="I9" s="273"/>
      <c r="J9" s="272"/>
      <c r="K9" s="268"/>
      <c r="L9" s="268"/>
    </row>
    <row r="10" spans="1:12" s="55" customFormat="1" ht="30.75" customHeight="1">
      <c r="A10" s="249"/>
      <c r="B10" s="315" t="s">
        <v>238</v>
      </c>
      <c r="C10" s="315"/>
      <c r="D10" s="350" t="s">
        <v>100</v>
      </c>
      <c r="E10" s="259" t="s">
        <v>95</v>
      </c>
      <c r="F10" s="259" t="s">
        <v>239</v>
      </c>
      <c r="G10" s="255" t="s">
        <v>218</v>
      </c>
      <c r="H10" s="255"/>
      <c r="I10" s="255"/>
      <c r="J10" s="256" t="s">
        <v>219</v>
      </c>
      <c r="K10" s="259" t="s">
        <v>220</v>
      </c>
      <c r="L10" s="249"/>
    </row>
    <row r="11" spans="1:12" s="111" customFormat="1" ht="55.5" customHeight="1">
      <c r="A11" s="257"/>
      <c r="B11" s="317"/>
      <c r="C11" s="317"/>
      <c r="D11" s="340"/>
      <c r="E11" s="318"/>
      <c r="F11" s="318"/>
      <c r="G11" s="319" t="s">
        <v>221</v>
      </c>
      <c r="H11" s="319" t="s">
        <v>222</v>
      </c>
      <c r="I11" s="319" t="s">
        <v>240</v>
      </c>
      <c r="J11" s="260"/>
      <c r="K11" s="318"/>
      <c r="L11" s="257"/>
    </row>
    <row r="12" spans="1:12" s="6" customFormat="1" ht="8.1" customHeight="1">
      <c r="A12" s="24"/>
      <c r="B12" s="377"/>
      <c r="C12" s="377"/>
      <c r="D12" s="390"/>
      <c r="E12" s="379"/>
      <c r="F12" s="380"/>
      <c r="G12" s="379"/>
      <c r="H12" s="379"/>
      <c r="I12" s="379"/>
      <c r="J12" s="380"/>
      <c r="K12" s="379"/>
    </row>
    <row r="13" spans="1:12" s="55" customFormat="1" ht="15" customHeight="1">
      <c r="B13" s="68" t="s">
        <v>158</v>
      </c>
      <c r="C13" s="133"/>
      <c r="D13" s="69">
        <v>2015</v>
      </c>
      <c r="E13" s="174">
        <f>SUM(F13:K13)</f>
        <v>4403</v>
      </c>
      <c r="F13" s="233">
        <v>1544</v>
      </c>
      <c r="G13" s="233">
        <v>132</v>
      </c>
      <c r="H13" s="233">
        <v>248</v>
      </c>
      <c r="I13" s="233">
        <v>792</v>
      </c>
      <c r="J13" s="233">
        <v>99</v>
      </c>
      <c r="K13" s="233">
        <v>1588</v>
      </c>
    </row>
    <row r="14" spans="1:12" s="55" customFormat="1" ht="15" customHeight="1">
      <c r="B14" s="133"/>
      <c r="C14" s="133"/>
      <c r="D14" s="69">
        <v>2016</v>
      </c>
      <c r="E14" s="174">
        <f t="shared" ref="E14" si="0">SUM(F14:K14)</f>
        <v>4720</v>
      </c>
      <c r="F14" s="233">
        <v>1757</v>
      </c>
      <c r="G14" s="233">
        <v>136</v>
      </c>
      <c r="H14" s="233">
        <v>233</v>
      </c>
      <c r="I14" s="233">
        <v>850</v>
      </c>
      <c r="J14" s="233">
        <v>96</v>
      </c>
      <c r="K14" s="233">
        <v>1648</v>
      </c>
    </row>
    <row r="15" spans="1:12" s="55" customFormat="1" ht="15" customHeight="1">
      <c r="B15" s="133"/>
      <c r="C15" s="133"/>
      <c r="D15" s="69">
        <v>2017</v>
      </c>
      <c r="E15" s="174">
        <f>SUM(F15:K15)</f>
        <v>5475</v>
      </c>
      <c r="F15" s="233">
        <f>F19+F23+F27+F31+F35+F39+F43+F47+F51+'1.6Sabah (2)'!F17+'1.6Sabah (2)'!F21+'1.6Sabah (2)'!F25+'1.6Sabah (2)'!F29+'1.6Sabah (2)'!F33+'1.6Sabah (2)'!F37+'1.6Sabah (2)'!F41+'1.6Sabah (2)'!F45+'1.6Sabah (2)'!F49+'1.6Sabah (2)'!F53+'1.6Sabah (2)'!F57</f>
        <v>1908</v>
      </c>
      <c r="G15" s="233">
        <f>G19+G23+G27+G35+G43+'1.6Sabah (2)'!G17+'1.6Sabah (2)'!G21+'1.6Sabah (2)'!G25+'1.6Sabah (2)'!G29+'1.6Sabah (2)'!G33+'1.6Sabah (2)'!G41+'1.6Sabah (2)'!G45+'1.6Sabah (2)'!G49</f>
        <v>116</v>
      </c>
      <c r="H15" s="233">
        <f>H19+H27+H31+H35+H39+H43+H47+H51+'1.6Sabah (2)'!H17+'1.6Sabah (2)'!H21+'1.6Sabah (2)'!H25+'1.6Sabah (2)'!H29+'1.6Sabah (2)'!H33+'1.6Sabah (2)'!H37+'1.6Sabah (2)'!H41+'1.6Sabah (2)'!H45+'1.6Sabah (2)'!H49+'1.6Sabah (2)'!H53+'1.6Sabah (2)'!H57</f>
        <v>244</v>
      </c>
      <c r="I15" s="233">
        <f>I19+I23+I27+I31+I35+I39+I43+I47+I51+'1.6Sabah (2)'!I17+'1.6Sabah (2)'!I21+'1.6Sabah (2)'!I25+'1.6Sabah (2)'!I29+'1.6Sabah (2)'!I33+'1.6Sabah (2)'!I37+'1.6Sabah (2)'!I41+'1.6Sabah (2)'!I45+'1.6Sabah (2)'!I49+'1.6Sabah (2)'!I53+'1.6Sabah (2)'!I57</f>
        <v>666</v>
      </c>
      <c r="J15" s="233">
        <f>+J27+J31+J35+J43+'1.6Sabah (2)'!J37+'1.6Sabah (2)'!J45+J51</f>
        <v>23</v>
      </c>
      <c r="K15" s="233">
        <f>K19+K23+K27+K31+K35+K39+K43+K47+K51+'1.6Sabah (2)'!K17+'1.6Sabah (2)'!K21+'1.6Sabah (2)'!K25+'1.6Sabah (2)'!K29+'1.6Sabah (2)'!K33+'1.6Sabah (2)'!K37+'1.6Sabah (2)'!K41+'1.6Sabah (2)'!K45+'1.6Sabah (2)'!K49+'1.6Sabah (2)'!K53+'1.6Sabah (2)'!K57</f>
        <v>2518</v>
      </c>
    </row>
    <row r="16" spans="1:12" s="55" customFormat="1" ht="15" customHeight="1">
      <c r="B16" s="133"/>
      <c r="C16" s="133"/>
      <c r="D16" s="69"/>
      <c r="E16" s="174"/>
      <c r="F16" s="233"/>
      <c r="G16" s="233"/>
      <c r="H16" s="233"/>
      <c r="I16" s="233"/>
      <c r="J16" s="233"/>
      <c r="K16" s="233"/>
    </row>
    <row r="17" spans="1:14" s="55" customFormat="1" ht="15" customHeight="1">
      <c r="B17" s="62" t="s">
        <v>159</v>
      </c>
      <c r="C17" s="62"/>
      <c r="D17" s="170">
        <v>2015</v>
      </c>
      <c r="E17" s="175">
        <f t="shared" ref="E17:E18" si="1">SUM(F17:K17)</f>
        <v>85</v>
      </c>
      <c r="F17" s="237">
        <v>31</v>
      </c>
      <c r="G17" s="237">
        <v>2</v>
      </c>
      <c r="H17" s="237">
        <v>1</v>
      </c>
      <c r="I17" s="237">
        <v>21</v>
      </c>
      <c r="J17" s="237">
        <v>1</v>
      </c>
      <c r="K17" s="237">
        <v>29</v>
      </c>
    </row>
    <row r="18" spans="1:14" s="55" customFormat="1" ht="15" customHeight="1">
      <c r="A18" s="125"/>
      <c r="B18" s="370"/>
      <c r="C18" s="370"/>
      <c r="D18" s="170">
        <v>2016</v>
      </c>
      <c r="E18" s="175">
        <f t="shared" si="1"/>
        <v>119</v>
      </c>
      <c r="F18" s="237">
        <v>48</v>
      </c>
      <c r="G18" s="237">
        <v>3</v>
      </c>
      <c r="H18" s="237">
        <v>4</v>
      </c>
      <c r="I18" s="237">
        <v>22</v>
      </c>
      <c r="J18" s="371" t="s">
        <v>51</v>
      </c>
      <c r="K18" s="237">
        <v>42</v>
      </c>
    </row>
    <row r="19" spans="1:14" s="124" customFormat="1" ht="15" customHeight="1">
      <c r="A19" s="55"/>
      <c r="B19" s="370"/>
      <c r="C19" s="370"/>
      <c r="D19" s="170">
        <v>2017</v>
      </c>
      <c r="E19" s="175">
        <f>SUM(F19:K19)</f>
        <v>136</v>
      </c>
      <c r="F19" s="237">
        <f>50+1</f>
        <v>51</v>
      </c>
      <c r="G19" s="237">
        <v>1</v>
      </c>
      <c r="H19" s="237">
        <v>5</v>
      </c>
      <c r="I19" s="237">
        <v>20</v>
      </c>
      <c r="J19" s="371" t="s">
        <v>51</v>
      </c>
      <c r="K19" s="237">
        <f>1+1+2+30+25</f>
        <v>59</v>
      </c>
      <c r="L19" s="55"/>
      <c r="M19" s="55"/>
      <c r="N19" s="55"/>
    </row>
    <row r="20" spans="1:14" s="124" customFormat="1" ht="15" customHeight="1">
      <c r="A20" s="55"/>
      <c r="B20" s="370"/>
      <c r="C20" s="370"/>
      <c r="D20" s="170"/>
      <c r="E20" s="175"/>
      <c r="F20" s="237"/>
      <c r="G20" s="237"/>
      <c r="H20" s="237"/>
      <c r="I20" s="237"/>
      <c r="J20" s="237"/>
      <c r="K20" s="237"/>
      <c r="L20" s="55"/>
      <c r="M20" s="55"/>
      <c r="N20" s="55"/>
    </row>
    <row r="21" spans="1:14" s="55" customFormat="1" ht="15" customHeight="1">
      <c r="B21" s="62" t="s">
        <v>160</v>
      </c>
      <c r="C21" s="62"/>
      <c r="D21" s="170">
        <v>2015</v>
      </c>
      <c r="E21" s="175">
        <f t="shared" ref="E21:E22" si="2">SUM(F21:K21)</f>
        <v>23</v>
      </c>
      <c r="F21" s="237">
        <v>6</v>
      </c>
      <c r="G21" s="237">
        <v>1</v>
      </c>
      <c r="H21" s="237">
        <v>1</v>
      </c>
      <c r="I21" s="237">
        <v>9</v>
      </c>
      <c r="J21" s="371" t="s">
        <v>51</v>
      </c>
      <c r="K21" s="237">
        <v>6</v>
      </c>
    </row>
    <row r="22" spans="1:14" s="55" customFormat="1" ht="15" customHeight="1">
      <c r="B22" s="370"/>
      <c r="C22" s="370"/>
      <c r="D22" s="170">
        <v>2016</v>
      </c>
      <c r="E22" s="175">
        <f t="shared" si="2"/>
        <v>42</v>
      </c>
      <c r="F22" s="237">
        <v>19</v>
      </c>
      <c r="G22" s="371" t="s">
        <v>51</v>
      </c>
      <c r="H22" s="371" t="s">
        <v>51</v>
      </c>
      <c r="I22" s="237">
        <v>16</v>
      </c>
      <c r="J22" s="237">
        <v>1</v>
      </c>
      <c r="K22" s="237">
        <v>6</v>
      </c>
    </row>
    <row r="23" spans="1:14" s="55" customFormat="1" ht="15" customHeight="1">
      <c r="B23" s="370"/>
      <c r="C23" s="370"/>
      <c r="D23" s="170">
        <v>2017</v>
      </c>
      <c r="E23" s="175">
        <f>SUM(F23:K23)</f>
        <v>56</v>
      </c>
      <c r="F23" s="237">
        <f>20+1</f>
        <v>21</v>
      </c>
      <c r="G23" s="237">
        <v>1</v>
      </c>
      <c r="H23" s="371" t="s">
        <v>51</v>
      </c>
      <c r="I23" s="237">
        <v>19</v>
      </c>
      <c r="J23" s="371" t="s">
        <v>51</v>
      </c>
      <c r="K23" s="237">
        <f>2+2+1+10</f>
        <v>15</v>
      </c>
    </row>
    <row r="24" spans="1:14" s="55" customFormat="1" ht="15" customHeight="1">
      <c r="B24" s="370"/>
      <c r="C24" s="370"/>
      <c r="D24" s="170"/>
      <c r="E24" s="175"/>
      <c r="F24" s="237"/>
      <c r="G24" s="237"/>
      <c r="H24" s="237"/>
      <c r="I24" s="237"/>
      <c r="J24" s="237"/>
      <c r="K24" s="237"/>
    </row>
    <row r="25" spans="1:14" s="55" customFormat="1" ht="15" customHeight="1">
      <c r="B25" s="62" t="s">
        <v>161</v>
      </c>
      <c r="C25" s="62"/>
      <c r="D25" s="170">
        <v>2015</v>
      </c>
      <c r="E25" s="175">
        <f t="shared" ref="E25:E26" si="3">SUM(F25:K25)</f>
        <v>104</v>
      </c>
      <c r="F25" s="237">
        <v>21</v>
      </c>
      <c r="G25" s="237">
        <v>12</v>
      </c>
      <c r="H25" s="237">
        <v>9</v>
      </c>
      <c r="I25" s="237">
        <v>19</v>
      </c>
      <c r="J25" s="237">
        <v>1</v>
      </c>
      <c r="K25" s="237">
        <v>42</v>
      </c>
    </row>
    <row r="26" spans="1:14" s="55" customFormat="1" ht="15" customHeight="1">
      <c r="B26" s="370"/>
      <c r="C26" s="370"/>
      <c r="D26" s="170">
        <v>2016</v>
      </c>
      <c r="E26" s="175">
        <f t="shared" si="3"/>
        <v>169</v>
      </c>
      <c r="F26" s="237">
        <v>46</v>
      </c>
      <c r="G26" s="237">
        <v>16</v>
      </c>
      <c r="H26" s="237">
        <v>8</v>
      </c>
      <c r="I26" s="237">
        <v>30</v>
      </c>
      <c r="J26" s="237">
        <v>4</v>
      </c>
      <c r="K26" s="237">
        <v>65</v>
      </c>
    </row>
    <row r="27" spans="1:14" s="55" customFormat="1" ht="15" customHeight="1">
      <c r="B27" s="370"/>
      <c r="C27" s="370"/>
      <c r="D27" s="170">
        <v>2017</v>
      </c>
      <c r="E27" s="175">
        <f>SUM(F27:K27)</f>
        <v>161</v>
      </c>
      <c r="F27" s="237">
        <f>37+10</f>
        <v>47</v>
      </c>
      <c r="G27" s="237">
        <f>3+3</f>
        <v>6</v>
      </c>
      <c r="H27" s="237">
        <v>8</v>
      </c>
      <c r="I27" s="237">
        <v>29</v>
      </c>
      <c r="J27" s="237">
        <v>4</v>
      </c>
      <c r="K27" s="237">
        <f>7+13+29+18</f>
        <v>67</v>
      </c>
    </row>
    <row r="28" spans="1:14" s="55" customFormat="1" ht="15" customHeight="1">
      <c r="B28" s="370"/>
      <c r="C28" s="370"/>
      <c r="D28" s="170"/>
      <c r="E28" s="175"/>
      <c r="F28" s="237"/>
      <c r="G28" s="237"/>
      <c r="H28" s="237"/>
      <c r="I28" s="237"/>
      <c r="J28" s="237"/>
      <c r="K28" s="237"/>
    </row>
    <row r="29" spans="1:14" s="55" customFormat="1" ht="15" customHeight="1">
      <c r="B29" s="62" t="s">
        <v>162</v>
      </c>
      <c r="C29" s="62"/>
      <c r="D29" s="170">
        <v>2015</v>
      </c>
      <c r="E29" s="175">
        <f t="shared" ref="E29:E30" si="4">SUM(F29:K29)</f>
        <v>84</v>
      </c>
      <c r="F29" s="237">
        <v>18</v>
      </c>
      <c r="G29" s="371" t="s">
        <v>51</v>
      </c>
      <c r="H29" s="371" t="s">
        <v>51</v>
      </c>
      <c r="I29" s="237">
        <v>11</v>
      </c>
      <c r="J29" s="371" t="s">
        <v>51</v>
      </c>
      <c r="K29" s="237">
        <v>55</v>
      </c>
    </row>
    <row r="30" spans="1:14" s="55" customFormat="1" ht="15" customHeight="1">
      <c r="B30" s="370"/>
      <c r="C30" s="370"/>
      <c r="D30" s="170">
        <v>2016</v>
      </c>
      <c r="E30" s="175">
        <f t="shared" si="4"/>
        <v>132</v>
      </c>
      <c r="F30" s="237">
        <v>42</v>
      </c>
      <c r="G30" s="371" t="s">
        <v>51</v>
      </c>
      <c r="H30" s="237">
        <v>1</v>
      </c>
      <c r="I30" s="237">
        <v>14</v>
      </c>
      <c r="J30" s="371" t="s">
        <v>51</v>
      </c>
      <c r="K30" s="237">
        <v>75</v>
      </c>
    </row>
    <row r="31" spans="1:14" s="55" customFormat="1" ht="15" customHeight="1">
      <c r="B31" s="370"/>
      <c r="C31" s="370"/>
      <c r="D31" s="170">
        <v>2017</v>
      </c>
      <c r="E31" s="175">
        <f>SUM(F31:K31)</f>
        <v>184</v>
      </c>
      <c r="F31" s="237">
        <f>44+5</f>
        <v>49</v>
      </c>
      <c r="G31" s="371" t="s">
        <v>51</v>
      </c>
      <c r="H31" s="237">
        <v>1</v>
      </c>
      <c r="I31" s="237">
        <v>14</v>
      </c>
      <c r="J31" s="237">
        <v>1</v>
      </c>
      <c r="K31" s="237">
        <f>1+7+5+35+70+1</f>
        <v>119</v>
      </c>
    </row>
    <row r="32" spans="1:14" s="55" customFormat="1" ht="15" customHeight="1">
      <c r="B32" s="370"/>
      <c r="C32" s="370"/>
      <c r="D32" s="170"/>
      <c r="E32" s="175"/>
      <c r="F32" s="237"/>
      <c r="G32" s="237"/>
      <c r="H32" s="237"/>
      <c r="I32" s="237"/>
      <c r="J32" s="237"/>
      <c r="K32" s="237"/>
    </row>
    <row r="33" spans="2:11" s="55" customFormat="1" ht="15" customHeight="1">
      <c r="B33" s="62" t="s">
        <v>163</v>
      </c>
      <c r="C33" s="62"/>
      <c r="D33" s="170">
        <v>2015</v>
      </c>
      <c r="E33" s="175">
        <f t="shared" ref="E33:E34" si="5">SUM(F33:K33)</f>
        <v>1192</v>
      </c>
      <c r="F33" s="237">
        <v>347</v>
      </c>
      <c r="G33" s="237">
        <v>44</v>
      </c>
      <c r="H33" s="237">
        <v>96</v>
      </c>
      <c r="I33" s="237">
        <v>187</v>
      </c>
      <c r="J33" s="237">
        <v>58</v>
      </c>
      <c r="K33" s="237">
        <v>460</v>
      </c>
    </row>
    <row r="34" spans="2:11" s="55" customFormat="1" ht="15" customHeight="1">
      <c r="B34" s="370"/>
      <c r="C34" s="370"/>
      <c r="D34" s="170">
        <v>2016</v>
      </c>
      <c r="E34" s="175">
        <f t="shared" si="5"/>
        <v>1245</v>
      </c>
      <c r="F34" s="237">
        <v>363</v>
      </c>
      <c r="G34" s="237">
        <v>53</v>
      </c>
      <c r="H34" s="237">
        <v>77</v>
      </c>
      <c r="I34" s="237">
        <v>203</v>
      </c>
      <c r="J34" s="237">
        <v>39</v>
      </c>
      <c r="K34" s="237">
        <v>510</v>
      </c>
    </row>
    <row r="35" spans="2:11" s="55" customFormat="1" ht="15" customHeight="1">
      <c r="B35" s="370"/>
      <c r="C35" s="370"/>
      <c r="D35" s="170">
        <v>2017</v>
      </c>
      <c r="E35" s="175">
        <f>SUM(F35:K35)</f>
        <v>1387</v>
      </c>
      <c r="F35" s="237">
        <f>351+97</f>
        <v>448</v>
      </c>
      <c r="G35" s="237">
        <f>1+45</f>
        <v>46</v>
      </c>
      <c r="H35" s="237">
        <v>76</v>
      </c>
      <c r="I35" s="237">
        <v>178</v>
      </c>
      <c r="J35" s="237">
        <v>2</v>
      </c>
      <c r="K35" s="237">
        <f>4+74+75+264+15+202+3</f>
        <v>637</v>
      </c>
    </row>
    <row r="36" spans="2:11" s="55" customFormat="1" ht="15" customHeight="1">
      <c r="B36" s="370"/>
      <c r="C36" s="370"/>
      <c r="D36" s="170"/>
      <c r="E36" s="175"/>
      <c r="F36" s="237"/>
      <c r="G36" s="237"/>
      <c r="H36" s="237"/>
      <c r="I36" s="237"/>
      <c r="J36" s="237"/>
      <c r="K36" s="237"/>
    </row>
    <row r="37" spans="2:11" s="55" customFormat="1" ht="15" customHeight="1">
      <c r="B37" s="62" t="s">
        <v>164</v>
      </c>
      <c r="C37" s="62"/>
      <c r="D37" s="170">
        <v>2015</v>
      </c>
      <c r="E37" s="175">
        <f t="shared" ref="E37:E38" si="6">SUM(F37:K37)</f>
        <v>38</v>
      </c>
      <c r="F37" s="237">
        <v>10</v>
      </c>
      <c r="G37" s="371" t="s">
        <v>51</v>
      </c>
      <c r="H37" s="371" t="s">
        <v>51</v>
      </c>
      <c r="I37" s="237">
        <v>25</v>
      </c>
      <c r="J37" s="371" t="s">
        <v>51</v>
      </c>
      <c r="K37" s="237">
        <v>3</v>
      </c>
    </row>
    <row r="38" spans="2:11" s="55" customFormat="1" ht="15" customHeight="1">
      <c r="B38" s="370"/>
      <c r="C38" s="370"/>
      <c r="D38" s="170">
        <v>2016</v>
      </c>
      <c r="E38" s="175">
        <f t="shared" si="6"/>
        <v>39</v>
      </c>
      <c r="F38" s="237">
        <v>4</v>
      </c>
      <c r="G38" s="371" t="s">
        <v>51</v>
      </c>
      <c r="H38" s="237">
        <v>3</v>
      </c>
      <c r="I38" s="237">
        <v>18</v>
      </c>
      <c r="J38" s="371" t="s">
        <v>51</v>
      </c>
      <c r="K38" s="237">
        <v>14</v>
      </c>
    </row>
    <row r="39" spans="2:11" s="55" customFormat="1" ht="15" customHeight="1">
      <c r="B39" s="370"/>
      <c r="C39" s="370"/>
      <c r="D39" s="170">
        <v>2017</v>
      </c>
      <c r="E39" s="175">
        <f>SUM(F39:K39)</f>
        <v>47</v>
      </c>
      <c r="F39" s="237">
        <f>7+4</f>
        <v>11</v>
      </c>
      <c r="G39" s="371" t="s">
        <v>51</v>
      </c>
      <c r="H39" s="237">
        <v>4</v>
      </c>
      <c r="I39" s="237">
        <v>12</v>
      </c>
      <c r="J39" s="371" t="s">
        <v>51</v>
      </c>
      <c r="K39" s="237">
        <f>5+2+13</f>
        <v>20</v>
      </c>
    </row>
    <row r="40" spans="2:11" s="55" customFormat="1" ht="15" customHeight="1">
      <c r="B40" s="370"/>
      <c r="C40" s="370"/>
      <c r="D40" s="170"/>
      <c r="E40" s="175"/>
      <c r="F40" s="237"/>
      <c r="G40" s="237"/>
      <c r="H40" s="237"/>
      <c r="I40" s="237"/>
      <c r="J40" s="237"/>
      <c r="K40" s="237"/>
    </row>
    <row r="41" spans="2:11" s="55" customFormat="1" ht="15" customHeight="1">
      <c r="B41" s="62" t="s">
        <v>165</v>
      </c>
      <c r="C41" s="62"/>
      <c r="D41" s="170">
        <v>2015</v>
      </c>
      <c r="E41" s="175">
        <f t="shared" ref="E41:E42" si="7">SUM(F41:K41)</f>
        <v>40</v>
      </c>
      <c r="F41" s="371">
        <v>12</v>
      </c>
      <c r="G41" s="237">
        <v>1</v>
      </c>
      <c r="H41" s="371" t="s">
        <v>51</v>
      </c>
      <c r="I41" s="237">
        <v>4</v>
      </c>
      <c r="J41" s="371" t="s">
        <v>51</v>
      </c>
      <c r="K41" s="237">
        <v>23</v>
      </c>
    </row>
    <row r="42" spans="2:11" s="55" customFormat="1" ht="15" customHeight="1">
      <c r="B42" s="370"/>
      <c r="C42" s="370"/>
      <c r="D42" s="170">
        <v>2016</v>
      </c>
      <c r="E42" s="175">
        <f t="shared" si="7"/>
        <v>51</v>
      </c>
      <c r="F42" s="237">
        <v>20</v>
      </c>
      <c r="G42" s="371" t="s">
        <v>51</v>
      </c>
      <c r="H42" s="237">
        <v>1</v>
      </c>
      <c r="I42" s="237">
        <v>9</v>
      </c>
      <c r="J42" s="371" t="s">
        <v>51</v>
      </c>
      <c r="K42" s="237">
        <v>21</v>
      </c>
    </row>
    <row r="43" spans="2:11" s="55" customFormat="1" ht="15" customHeight="1">
      <c r="B43" s="370"/>
      <c r="C43" s="370"/>
      <c r="D43" s="170">
        <v>2017</v>
      </c>
      <c r="E43" s="175">
        <f>SUM(F43:K43)</f>
        <v>86</v>
      </c>
      <c r="F43" s="371">
        <f>22+4</f>
        <v>26</v>
      </c>
      <c r="G43" s="237">
        <v>1</v>
      </c>
      <c r="H43" s="237">
        <v>2</v>
      </c>
      <c r="I43" s="237">
        <v>15</v>
      </c>
      <c r="J43" s="237">
        <v>1</v>
      </c>
      <c r="K43" s="237">
        <f>1+4+5+8+23</f>
        <v>41</v>
      </c>
    </row>
    <row r="44" spans="2:11" s="55" customFormat="1" ht="15" customHeight="1">
      <c r="B44" s="370"/>
      <c r="C44" s="370"/>
      <c r="D44" s="170"/>
      <c r="E44" s="175"/>
      <c r="F44" s="371"/>
      <c r="G44" s="237"/>
      <c r="H44" s="237"/>
      <c r="I44" s="237"/>
      <c r="J44" s="237"/>
      <c r="K44" s="237"/>
    </row>
    <row r="45" spans="2:11" s="55" customFormat="1" ht="15" customHeight="1">
      <c r="B45" s="62" t="s">
        <v>166</v>
      </c>
      <c r="C45" s="62"/>
      <c r="D45" s="170">
        <v>2015</v>
      </c>
      <c r="E45" s="175">
        <f t="shared" ref="E45:E46" si="8">SUM(F45:K45)</f>
        <v>29</v>
      </c>
      <c r="F45" s="237">
        <v>14</v>
      </c>
      <c r="G45" s="371" t="s">
        <v>51</v>
      </c>
      <c r="H45" s="371" t="s">
        <v>51</v>
      </c>
      <c r="I45" s="237">
        <v>5</v>
      </c>
      <c r="J45" s="371" t="s">
        <v>51</v>
      </c>
      <c r="K45" s="237">
        <v>10</v>
      </c>
    </row>
    <row r="46" spans="2:11" s="55" customFormat="1" ht="15" customHeight="1">
      <c r="B46" s="370"/>
      <c r="C46" s="370"/>
      <c r="D46" s="170">
        <v>2016</v>
      </c>
      <c r="E46" s="175">
        <f t="shared" si="8"/>
        <v>51</v>
      </c>
      <c r="F46" s="237">
        <v>34</v>
      </c>
      <c r="G46" s="371" t="s">
        <v>51</v>
      </c>
      <c r="H46" s="237">
        <v>2</v>
      </c>
      <c r="I46" s="237">
        <v>4</v>
      </c>
      <c r="J46" s="237">
        <v>1</v>
      </c>
      <c r="K46" s="237">
        <v>10</v>
      </c>
    </row>
    <row r="47" spans="2:11" s="55" customFormat="1" ht="15" customHeight="1">
      <c r="B47" s="370"/>
      <c r="C47" s="370"/>
      <c r="D47" s="170">
        <v>2017</v>
      </c>
      <c r="E47" s="175">
        <f>SUM(F47:K47)</f>
        <v>42</v>
      </c>
      <c r="F47" s="237">
        <f>13+2</f>
        <v>15</v>
      </c>
      <c r="G47" s="371" t="s">
        <v>51</v>
      </c>
      <c r="H47" s="237">
        <v>1</v>
      </c>
      <c r="I47" s="237">
        <v>6</v>
      </c>
      <c r="J47" s="371" t="s">
        <v>51</v>
      </c>
      <c r="K47" s="237">
        <f>6+2+3+9</f>
        <v>20</v>
      </c>
    </row>
    <row r="48" spans="2:11" s="55" customFormat="1" ht="15" customHeight="1">
      <c r="B48" s="370"/>
      <c r="C48" s="370"/>
      <c r="D48" s="170"/>
      <c r="E48" s="175"/>
      <c r="F48" s="237"/>
      <c r="G48" s="237"/>
      <c r="H48" s="237"/>
      <c r="I48" s="237"/>
      <c r="J48" s="237"/>
      <c r="K48" s="237"/>
    </row>
    <row r="49" spans="1:12" s="55" customFormat="1" ht="15" customHeight="1">
      <c r="B49" s="62" t="s">
        <v>167</v>
      </c>
      <c r="C49" s="62"/>
      <c r="D49" s="170">
        <v>2015</v>
      </c>
      <c r="E49" s="175">
        <f t="shared" ref="E49:E50" si="9">SUM(F49:K49)</f>
        <v>67</v>
      </c>
      <c r="F49" s="237">
        <v>33</v>
      </c>
      <c r="G49" s="371" t="s">
        <v>51</v>
      </c>
      <c r="H49" s="237">
        <v>1</v>
      </c>
      <c r="I49" s="237">
        <v>12</v>
      </c>
      <c r="J49" s="237">
        <v>1</v>
      </c>
      <c r="K49" s="237">
        <v>20</v>
      </c>
    </row>
    <row r="50" spans="1:12" s="55" customFormat="1" ht="15" customHeight="1">
      <c r="B50" s="370"/>
      <c r="C50" s="370"/>
      <c r="D50" s="170">
        <v>2016</v>
      </c>
      <c r="E50" s="175">
        <f t="shared" si="9"/>
        <v>74</v>
      </c>
      <c r="F50" s="237">
        <v>42</v>
      </c>
      <c r="G50" s="237">
        <v>1</v>
      </c>
      <c r="H50" s="237">
        <v>4</v>
      </c>
      <c r="I50" s="237">
        <v>11</v>
      </c>
      <c r="J50" s="371" t="s">
        <v>51</v>
      </c>
      <c r="K50" s="237">
        <v>16</v>
      </c>
    </row>
    <row r="51" spans="1:12" s="55" customFormat="1" ht="15" customHeight="1">
      <c r="B51" s="370"/>
      <c r="C51" s="370"/>
      <c r="D51" s="170">
        <v>2017</v>
      </c>
      <c r="E51" s="175">
        <f>SUM(F51:K51)</f>
        <v>87</v>
      </c>
      <c r="F51" s="237">
        <f>52+2</f>
        <v>54</v>
      </c>
      <c r="G51" s="371" t="s">
        <v>51</v>
      </c>
      <c r="H51" s="237">
        <v>1</v>
      </c>
      <c r="I51" s="237">
        <v>8</v>
      </c>
      <c r="J51" s="371">
        <v>1</v>
      </c>
      <c r="K51" s="237">
        <f>3+11+1+8</f>
        <v>23</v>
      </c>
    </row>
    <row r="52" spans="1:12" ht="8.1" customHeight="1" thickBot="1">
      <c r="A52" s="34"/>
      <c r="B52" s="391"/>
      <c r="C52" s="391"/>
      <c r="D52" s="345"/>
      <c r="E52" s="239"/>
      <c r="F52" s="239"/>
      <c r="G52" s="239"/>
      <c r="H52" s="239"/>
      <c r="I52" s="239"/>
      <c r="J52" s="239"/>
      <c r="K52" s="239"/>
      <c r="L52" s="34"/>
    </row>
    <row r="53" spans="1:12">
      <c r="I53" s="348"/>
      <c r="J53" s="247"/>
      <c r="K53" s="8" t="s">
        <v>104</v>
      </c>
    </row>
    <row r="54" spans="1:12">
      <c r="I54" s="347"/>
      <c r="J54" s="246"/>
      <c r="K54" s="41" t="s">
        <v>1</v>
      </c>
    </row>
  </sheetData>
  <mergeCells count="6">
    <mergeCell ref="B10:C11"/>
    <mergeCell ref="E10:E11"/>
    <mergeCell ref="F10:F11"/>
    <mergeCell ref="G10:I10"/>
    <mergeCell ref="J10:J11"/>
    <mergeCell ref="K10:K11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5" fitToWidth="0" orientation="portrait" r:id="rId1"/>
  <headerFooter>
    <oddHeader xml:space="preserve">&amp;R&amp;"-,Bold"
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L60"/>
  <sheetViews>
    <sheetView showGridLines="0" topLeftCell="A13" zoomScale="80" zoomScaleNormal="80" zoomScaleSheetLayoutView="100" workbookViewId="0">
      <selection activeCell="AF36" sqref="AF36"/>
    </sheetView>
  </sheetViews>
  <sheetFormatPr defaultRowHeight="15"/>
  <cols>
    <col min="1" max="1" width="1.7109375" style="2" customWidth="1"/>
    <col min="2" max="2" width="10.42578125" style="3" customWidth="1"/>
    <col min="3" max="3" width="9.140625" style="3" customWidth="1"/>
    <col min="4" max="4" width="9.28515625" style="3" customWidth="1"/>
    <col min="5" max="5" width="10.42578125" style="4" customWidth="1"/>
    <col min="6" max="7" width="11.7109375" style="5" customWidth="1"/>
    <col min="8" max="8" width="11.7109375" style="261" customWidth="1"/>
    <col min="9" max="9" width="12.28515625" style="5" customWidth="1"/>
    <col min="10" max="10" width="10.42578125" style="2" customWidth="1"/>
    <col min="11" max="11" width="11.7109375" style="2" customWidth="1"/>
    <col min="12" max="12" width="0.85546875" style="2" customWidth="1"/>
    <col min="13" max="16384" width="9.140625" style="2"/>
  </cols>
  <sheetData>
    <row r="1" spans="1:12" s="30" customFormat="1" ht="12.95" customHeight="1">
      <c r="B1" s="27"/>
      <c r="C1" s="27"/>
      <c r="D1" s="29"/>
      <c r="E1" s="28"/>
      <c r="F1" s="29"/>
      <c r="J1" s="29"/>
      <c r="K1" s="199" t="s">
        <v>188</v>
      </c>
    </row>
    <row r="2" spans="1:12" s="30" customFormat="1" ht="12.95" customHeight="1">
      <c r="B2" s="27"/>
      <c r="C2" s="27"/>
      <c r="D2" s="29"/>
      <c r="E2" s="28"/>
      <c r="F2" s="29"/>
      <c r="J2" s="29"/>
      <c r="K2" s="75" t="s">
        <v>189</v>
      </c>
    </row>
    <row r="3" spans="1:12" s="30" customFormat="1" ht="12" customHeight="1">
      <c r="B3" s="27"/>
      <c r="C3" s="27"/>
      <c r="D3" s="29"/>
      <c r="E3" s="28"/>
      <c r="F3" s="29"/>
      <c r="G3" s="75"/>
      <c r="J3" s="29"/>
    </row>
    <row r="4" spans="1:12" s="30" customFormat="1" ht="12" customHeight="1">
      <c r="B4" s="27"/>
      <c r="C4" s="27"/>
      <c r="D4" s="29"/>
      <c r="E4" s="28"/>
      <c r="F4" s="29"/>
      <c r="G4" s="75"/>
      <c r="J4" s="29"/>
    </row>
    <row r="5" spans="1:12" s="55" customFormat="1" ht="9.9499999999999993" customHeight="1">
      <c r="B5" s="124"/>
      <c r="C5" s="124"/>
      <c r="D5" s="265"/>
      <c r="E5" s="266"/>
      <c r="F5" s="265"/>
      <c r="G5" s="265"/>
      <c r="H5" s="267"/>
      <c r="I5" s="265"/>
      <c r="J5" s="123"/>
    </row>
    <row r="6" spans="1:12" s="55" customFormat="1" ht="15" customHeight="1">
      <c r="B6" s="70" t="s">
        <v>234</v>
      </c>
      <c r="C6" s="71" t="s">
        <v>241</v>
      </c>
      <c r="D6" s="265"/>
      <c r="E6" s="266"/>
      <c r="F6" s="71"/>
      <c r="G6" s="71"/>
      <c r="H6" s="71"/>
      <c r="I6" s="71"/>
      <c r="J6" s="88"/>
      <c r="K6" s="71"/>
      <c r="L6" s="241"/>
    </row>
    <row r="7" spans="1:12" s="55" customFormat="1" ht="18" customHeight="1">
      <c r="B7" s="89" t="s">
        <v>236</v>
      </c>
      <c r="C7" s="95" t="s">
        <v>242</v>
      </c>
      <c r="D7" s="265"/>
      <c r="E7" s="266"/>
      <c r="F7" s="95"/>
      <c r="G7" s="95"/>
      <c r="H7" s="95"/>
      <c r="I7" s="95"/>
      <c r="J7" s="339"/>
      <c r="K7" s="95"/>
      <c r="L7" s="243"/>
    </row>
    <row r="8" spans="1:12" s="55" customFormat="1" ht="8.1" customHeight="1" thickBot="1">
      <c r="B8" s="282"/>
      <c r="C8" s="282"/>
      <c r="D8" s="311"/>
      <c r="E8" s="310"/>
      <c r="F8" s="311"/>
      <c r="G8" s="311"/>
      <c r="H8" s="312"/>
      <c r="I8" s="311"/>
      <c r="J8" s="172"/>
      <c r="K8" s="125"/>
    </row>
    <row r="9" spans="1:12" s="55" customFormat="1" ht="8.1" customHeight="1" thickTop="1">
      <c r="A9" s="268"/>
      <c r="B9" s="270"/>
      <c r="C9" s="270"/>
      <c r="D9" s="273"/>
      <c r="E9" s="313"/>
      <c r="F9" s="273"/>
      <c r="G9" s="273"/>
      <c r="H9" s="314"/>
      <c r="I9" s="273"/>
      <c r="J9" s="272"/>
      <c r="K9" s="268"/>
      <c r="L9" s="268"/>
    </row>
    <row r="10" spans="1:12" s="55" customFormat="1" ht="30.75" customHeight="1">
      <c r="A10" s="249"/>
      <c r="B10" s="315" t="s">
        <v>238</v>
      </c>
      <c r="C10" s="315"/>
      <c r="D10" s="350" t="s">
        <v>100</v>
      </c>
      <c r="E10" s="259" t="s">
        <v>95</v>
      </c>
      <c r="F10" s="259" t="s">
        <v>239</v>
      </c>
      <c r="G10" s="255" t="s">
        <v>218</v>
      </c>
      <c r="H10" s="255"/>
      <c r="I10" s="255"/>
      <c r="J10" s="256" t="s">
        <v>219</v>
      </c>
      <c r="K10" s="259" t="s">
        <v>220</v>
      </c>
      <c r="L10" s="249"/>
    </row>
    <row r="11" spans="1:12" s="111" customFormat="1" ht="55.5" customHeight="1">
      <c r="A11" s="257"/>
      <c r="B11" s="317"/>
      <c r="C11" s="317"/>
      <c r="D11" s="340"/>
      <c r="E11" s="318"/>
      <c r="F11" s="318"/>
      <c r="G11" s="319" t="s">
        <v>221</v>
      </c>
      <c r="H11" s="319" t="s">
        <v>222</v>
      </c>
      <c r="I11" s="319" t="s">
        <v>240</v>
      </c>
      <c r="J11" s="260"/>
      <c r="K11" s="318"/>
      <c r="L11" s="257"/>
    </row>
    <row r="12" spans="1:12" s="6" customFormat="1" ht="8.1" customHeight="1">
      <c r="A12" s="24"/>
      <c r="B12" s="377"/>
      <c r="C12" s="377"/>
      <c r="D12" s="390"/>
      <c r="E12" s="379"/>
      <c r="F12" s="380"/>
      <c r="G12" s="379"/>
      <c r="H12" s="379"/>
      <c r="I12" s="379"/>
      <c r="J12" s="380"/>
      <c r="K12" s="379"/>
    </row>
    <row r="13" spans="1:12" s="55" customFormat="1" ht="15" customHeight="1">
      <c r="B13" s="68" t="s">
        <v>243</v>
      </c>
      <c r="C13" s="133"/>
      <c r="D13" s="130"/>
      <c r="E13" s="237"/>
      <c r="F13" s="233"/>
      <c r="G13" s="233"/>
      <c r="H13" s="233"/>
      <c r="I13" s="233"/>
      <c r="J13" s="233"/>
      <c r="K13" s="233"/>
    </row>
    <row r="14" spans="1:12" s="55" customFormat="1" ht="8.1" customHeight="1">
      <c r="B14" s="133"/>
      <c r="C14" s="133"/>
      <c r="D14" s="130"/>
      <c r="E14" s="237"/>
      <c r="F14" s="233"/>
      <c r="G14" s="233"/>
      <c r="H14" s="233"/>
      <c r="I14" s="233"/>
      <c r="J14" s="233"/>
      <c r="K14" s="233"/>
    </row>
    <row r="15" spans="1:12" s="55" customFormat="1" ht="15" customHeight="1">
      <c r="B15" s="62" t="s">
        <v>168</v>
      </c>
      <c r="C15" s="62"/>
      <c r="D15" s="177">
        <v>2015</v>
      </c>
      <c r="E15" s="237">
        <f>SUM(F15:K15)</f>
        <v>280</v>
      </c>
      <c r="F15" s="237">
        <v>108</v>
      </c>
      <c r="G15" s="237">
        <v>3</v>
      </c>
      <c r="H15" s="237">
        <v>8</v>
      </c>
      <c r="I15" s="237">
        <v>83</v>
      </c>
      <c r="J15" s="237">
        <v>1</v>
      </c>
      <c r="K15" s="237">
        <v>77</v>
      </c>
    </row>
    <row r="16" spans="1:12" s="55" customFormat="1" ht="15" customHeight="1">
      <c r="B16" s="370"/>
      <c r="C16" s="370"/>
      <c r="D16" s="177">
        <v>2016</v>
      </c>
      <c r="E16" s="237">
        <f>SUM(F16:K16)</f>
        <v>258</v>
      </c>
      <c r="F16" s="237">
        <v>108</v>
      </c>
      <c r="G16" s="371" t="s">
        <v>51</v>
      </c>
      <c r="H16" s="237">
        <v>3</v>
      </c>
      <c r="I16" s="237">
        <v>59</v>
      </c>
      <c r="J16" s="237">
        <v>3</v>
      </c>
      <c r="K16" s="237">
        <v>85</v>
      </c>
    </row>
    <row r="17" spans="1:11" s="55" customFormat="1" ht="15" customHeight="1">
      <c r="B17" s="370"/>
      <c r="C17" s="370"/>
      <c r="D17" s="177">
        <v>2017</v>
      </c>
      <c r="E17" s="237">
        <f>SUM(F17:K17)</f>
        <v>236</v>
      </c>
      <c r="F17" s="237">
        <f>71+14</f>
        <v>85</v>
      </c>
      <c r="G17" s="237">
        <v>3</v>
      </c>
      <c r="H17" s="237">
        <v>8</v>
      </c>
      <c r="I17" s="237">
        <v>37</v>
      </c>
      <c r="J17" s="371" t="s">
        <v>51</v>
      </c>
      <c r="K17" s="237">
        <v>103</v>
      </c>
    </row>
    <row r="18" spans="1:11" s="55" customFormat="1" ht="8.1" customHeight="1">
      <c r="B18" s="370"/>
      <c r="C18" s="370"/>
      <c r="D18" s="177"/>
      <c r="E18" s="237"/>
      <c r="F18" s="237"/>
      <c r="G18" s="237"/>
      <c r="H18" s="237"/>
      <c r="I18" s="237"/>
      <c r="J18" s="237"/>
      <c r="K18" s="237"/>
    </row>
    <row r="19" spans="1:11" s="55" customFormat="1" ht="15" customHeight="1">
      <c r="B19" s="113" t="s">
        <v>169</v>
      </c>
      <c r="C19" s="113"/>
      <c r="D19" s="177">
        <v>2015</v>
      </c>
      <c r="E19" s="237">
        <f>SUM(F19:K19)</f>
        <v>108</v>
      </c>
      <c r="F19" s="237">
        <v>40</v>
      </c>
      <c r="G19" s="237">
        <v>1</v>
      </c>
      <c r="H19" s="237">
        <v>19</v>
      </c>
      <c r="I19" s="237">
        <v>22</v>
      </c>
      <c r="J19" s="371" t="s">
        <v>51</v>
      </c>
      <c r="K19" s="237">
        <v>26</v>
      </c>
    </row>
    <row r="20" spans="1:11" s="55" customFormat="1" ht="15" customHeight="1">
      <c r="B20" s="392"/>
      <c r="C20" s="392"/>
      <c r="D20" s="177">
        <v>2016</v>
      </c>
      <c r="E20" s="237">
        <f>SUM(F20:K20)</f>
        <v>112</v>
      </c>
      <c r="F20" s="237">
        <v>45</v>
      </c>
      <c r="G20" s="237">
        <v>2</v>
      </c>
      <c r="H20" s="237">
        <v>6</v>
      </c>
      <c r="I20" s="237">
        <v>41</v>
      </c>
      <c r="J20" s="371" t="s">
        <v>51</v>
      </c>
      <c r="K20" s="237">
        <v>18</v>
      </c>
    </row>
    <row r="21" spans="1:11" s="55" customFormat="1" ht="15" customHeight="1">
      <c r="B21" s="392"/>
      <c r="C21" s="392"/>
      <c r="D21" s="177">
        <v>2017</v>
      </c>
      <c r="E21" s="237">
        <f>SUM(F21:K21)</f>
        <v>262</v>
      </c>
      <c r="F21" s="237">
        <f>65+36</f>
        <v>101</v>
      </c>
      <c r="G21" s="237">
        <v>1</v>
      </c>
      <c r="H21" s="237">
        <v>11</v>
      </c>
      <c r="I21" s="237">
        <v>19</v>
      </c>
      <c r="J21" s="371" t="s">
        <v>51</v>
      </c>
      <c r="K21" s="237">
        <f>9+2+29+2+86+2</f>
        <v>130</v>
      </c>
    </row>
    <row r="22" spans="1:11" s="55" customFormat="1" ht="8.1" customHeight="1">
      <c r="B22" s="392"/>
      <c r="C22" s="392"/>
      <c r="D22" s="177"/>
      <c r="E22" s="237"/>
      <c r="F22" s="237"/>
      <c r="G22" s="237"/>
      <c r="H22" s="237"/>
      <c r="I22" s="237"/>
      <c r="J22" s="237"/>
      <c r="K22" s="237"/>
    </row>
    <row r="23" spans="1:11" s="55" customFormat="1" ht="15" customHeight="1">
      <c r="B23" s="62" t="s">
        <v>170</v>
      </c>
      <c r="C23" s="62"/>
      <c r="D23" s="177">
        <v>2015</v>
      </c>
      <c r="E23" s="237">
        <f>SUM(F23:K23)</f>
        <v>402</v>
      </c>
      <c r="F23" s="237">
        <v>160</v>
      </c>
      <c r="G23" s="237">
        <v>32</v>
      </c>
      <c r="H23" s="237">
        <v>26</v>
      </c>
      <c r="I23" s="237">
        <v>67</v>
      </c>
      <c r="J23" s="237">
        <v>12</v>
      </c>
      <c r="K23" s="237">
        <v>105</v>
      </c>
    </row>
    <row r="24" spans="1:11" s="125" customFormat="1" ht="15" customHeight="1">
      <c r="A24" s="124"/>
      <c r="B24" s="370"/>
      <c r="C24" s="370"/>
      <c r="D24" s="177">
        <v>2016</v>
      </c>
      <c r="E24" s="237">
        <f>SUM(F24:K24)</f>
        <v>383</v>
      </c>
      <c r="F24" s="237">
        <v>147</v>
      </c>
      <c r="G24" s="237">
        <v>29</v>
      </c>
      <c r="H24" s="237">
        <v>25</v>
      </c>
      <c r="I24" s="237">
        <v>85</v>
      </c>
      <c r="J24" s="237">
        <v>6</v>
      </c>
      <c r="K24" s="237">
        <v>91</v>
      </c>
    </row>
    <row r="25" spans="1:11" s="125" customFormat="1" ht="15" customHeight="1">
      <c r="A25" s="55"/>
      <c r="B25" s="370"/>
      <c r="C25" s="370"/>
      <c r="D25" s="177">
        <v>2017</v>
      </c>
      <c r="E25" s="237">
        <f>SUM(F25:K25)</f>
        <v>538</v>
      </c>
      <c r="F25" s="237">
        <f>135+52</f>
        <v>187</v>
      </c>
      <c r="G25" s="237">
        <v>30</v>
      </c>
      <c r="H25" s="237">
        <v>32</v>
      </c>
      <c r="I25" s="237">
        <v>60</v>
      </c>
      <c r="J25" s="371" t="s">
        <v>51</v>
      </c>
      <c r="K25" s="237">
        <f>2+33+35+70+1+88</f>
        <v>229</v>
      </c>
    </row>
    <row r="26" spans="1:11" s="125" customFormat="1" ht="8.1" customHeight="1">
      <c r="A26" s="55"/>
      <c r="B26" s="370"/>
      <c r="C26" s="370"/>
      <c r="D26" s="177"/>
      <c r="E26" s="237"/>
      <c r="F26" s="237"/>
      <c r="G26" s="237"/>
      <c r="H26" s="237"/>
      <c r="I26" s="237"/>
      <c r="J26" s="237"/>
      <c r="K26" s="237"/>
    </row>
    <row r="27" spans="1:11" s="115" customFormat="1" ht="15" customHeight="1">
      <c r="A27" s="55"/>
      <c r="B27" s="62" t="s">
        <v>171</v>
      </c>
      <c r="C27" s="62"/>
      <c r="D27" s="177">
        <v>2015</v>
      </c>
      <c r="E27" s="237">
        <f>SUM(F27:K27)</f>
        <v>59</v>
      </c>
      <c r="F27" s="237">
        <v>27</v>
      </c>
      <c r="G27" s="237">
        <v>2</v>
      </c>
      <c r="H27" s="237">
        <v>4</v>
      </c>
      <c r="I27" s="237">
        <v>6</v>
      </c>
      <c r="J27" s="371" t="s">
        <v>51</v>
      </c>
      <c r="K27" s="237">
        <v>20</v>
      </c>
    </row>
    <row r="28" spans="1:11" s="125" customFormat="1" ht="15" customHeight="1">
      <c r="A28" s="55"/>
      <c r="B28" s="370"/>
      <c r="C28" s="370"/>
      <c r="D28" s="177">
        <v>2016</v>
      </c>
      <c r="E28" s="237">
        <f>SUM(F28:K28)</f>
        <v>77</v>
      </c>
      <c r="F28" s="237">
        <v>26</v>
      </c>
      <c r="G28" s="237">
        <v>1</v>
      </c>
      <c r="H28" s="237">
        <v>4</v>
      </c>
      <c r="I28" s="237">
        <v>14</v>
      </c>
      <c r="J28" s="371" t="s">
        <v>51</v>
      </c>
      <c r="K28" s="237">
        <v>32</v>
      </c>
    </row>
    <row r="29" spans="1:11" s="125" customFormat="1" ht="15" customHeight="1">
      <c r="A29" s="55"/>
      <c r="B29" s="370"/>
      <c r="C29" s="370"/>
      <c r="D29" s="177">
        <v>2017</v>
      </c>
      <c r="E29" s="237">
        <f>SUM(F29:K29)</f>
        <v>57</v>
      </c>
      <c r="F29" s="237">
        <f>18+3</f>
        <v>21</v>
      </c>
      <c r="G29" s="237">
        <v>1</v>
      </c>
      <c r="H29" s="237">
        <v>5</v>
      </c>
      <c r="I29" s="237">
        <v>4</v>
      </c>
      <c r="J29" s="371" t="s">
        <v>51</v>
      </c>
      <c r="K29" s="237">
        <f>7+3+6+10</f>
        <v>26</v>
      </c>
    </row>
    <row r="30" spans="1:11" s="125" customFormat="1" ht="8.1" customHeight="1">
      <c r="A30" s="55"/>
      <c r="B30" s="370"/>
      <c r="C30" s="370"/>
      <c r="D30" s="177"/>
      <c r="E30" s="237"/>
      <c r="F30" s="237"/>
      <c r="G30" s="237"/>
      <c r="H30" s="237"/>
      <c r="I30" s="237"/>
      <c r="J30" s="237"/>
      <c r="K30" s="237"/>
    </row>
    <row r="31" spans="1:11" s="125" customFormat="1" ht="15" customHeight="1">
      <c r="B31" s="62" t="s">
        <v>172</v>
      </c>
      <c r="C31" s="62"/>
      <c r="D31" s="177">
        <v>2015</v>
      </c>
      <c r="E31" s="237">
        <f>SUM(F31:K31)</f>
        <v>476</v>
      </c>
      <c r="F31" s="237">
        <v>222</v>
      </c>
      <c r="G31" s="237">
        <v>13</v>
      </c>
      <c r="H31" s="237">
        <v>20</v>
      </c>
      <c r="I31" s="237">
        <v>67</v>
      </c>
      <c r="J31" s="237">
        <v>13</v>
      </c>
      <c r="K31" s="237">
        <v>141</v>
      </c>
    </row>
    <row r="32" spans="1:11" s="92" customFormat="1" ht="15" customHeight="1">
      <c r="A32" s="55"/>
      <c r="B32" s="370"/>
      <c r="C32" s="370"/>
      <c r="D32" s="177">
        <v>2016</v>
      </c>
      <c r="E32" s="237">
        <f>SUM(F32:K32)</f>
        <v>430</v>
      </c>
      <c r="F32" s="237">
        <v>230</v>
      </c>
      <c r="G32" s="237">
        <v>15</v>
      </c>
      <c r="H32" s="237">
        <v>26</v>
      </c>
      <c r="I32" s="237">
        <v>79</v>
      </c>
      <c r="J32" s="237">
        <v>9</v>
      </c>
      <c r="K32" s="237">
        <v>71</v>
      </c>
    </row>
    <row r="33" spans="1:11" s="125" customFormat="1" ht="15" customHeight="1">
      <c r="A33" s="55"/>
      <c r="B33" s="370"/>
      <c r="C33" s="370"/>
      <c r="D33" s="177">
        <v>2017</v>
      </c>
      <c r="E33" s="237">
        <f>SUM(F33:K33)</f>
        <v>547</v>
      </c>
      <c r="F33" s="237">
        <f>201+37</f>
        <v>238</v>
      </c>
      <c r="G33" s="237">
        <v>9</v>
      </c>
      <c r="H33" s="237">
        <v>27</v>
      </c>
      <c r="I33" s="237">
        <v>67</v>
      </c>
      <c r="J33" s="371" t="s">
        <v>51</v>
      </c>
      <c r="K33" s="237">
        <f>1+15+45+67+78</f>
        <v>206</v>
      </c>
    </row>
    <row r="34" spans="1:11" s="125" customFormat="1" ht="8.1" customHeight="1">
      <c r="A34" s="55"/>
      <c r="B34" s="370"/>
      <c r="C34" s="370"/>
      <c r="D34" s="177"/>
      <c r="E34" s="237"/>
      <c r="F34" s="237"/>
      <c r="G34" s="237"/>
      <c r="H34" s="237"/>
      <c r="I34" s="237"/>
      <c r="J34" s="237"/>
      <c r="K34" s="237"/>
    </row>
    <row r="35" spans="1:11" s="55" customFormat="1" ht="15" customHeight="1">
      <c r="B35" s="62" t="s">
        <v>173</v>
      </c>
      <c r="C35" s="62"/>
      <c r="D35" s="177">
        <v>2015</v>
      </c>
      <c r="E35" s="237">
        <f>SUM(F35:K35)</f>
        <v>173</v>
      </c>
      <c r="F35" s="237">
        <v>43</v>
      </c>
      <c r="G35" s="237">
        <v>2</v>
      </c>
      <c r="H35" s="237">
        <v>7</v>
      </c>
      <c r="I35" s="237">
        <v>25</v>
      </c>
      <c r="J35" s="237">
        <v>5</v>
      </c>
      <c r="K35" s="237">
        <v>91</v>
      </c>
    </row>
    <row r="36" spans="1:11" s="55" customFormat="1" ht="15" customHeight="1">
      <c r="B36" s="370"/>
      <c r="C36" s="370"/>
      <c r="D36" s="177">
        <v>2016</v>
      </c>
      <c r="E36" s="237">
        <f>SUM(F36:K36)</f>
        <v>208</v>
      </c>
      <c r="F36" s="237">
        <v>53</v>
      </c>
      <c r="G36" s="371" t="s">
        <v>51</v>
      </c>
      <c r="H36" s="237">
        <v>10</v>
      </c>
      <c r="I36" s="237">
        <v>27</v>
      </c>
      <c r="J36" s="237">
        <v>9</v>
      </c>
      <c r="K36" s="237">
        <v>109</v>
      </c>
    </row>
    <row r="37" spans="1:11" s="55" customFormat="1" ht="15" customHeight="1">
      <c r="A37" s="125"/>
      <c r="B37" s="370"/>
      <c r="C37" s="370"/>
      <c r="D37" s="177">
        <v>2017</v>
      </c>
      <c r="E37" s="237">
        <f>SUM(F37:K37)</f>
        <v>321</v>
      </c>
      <c r="F37" s="237">
        <f>83+8</f>
        <v>91</v>
      </c>
      <c r="G37" s="371" t="s">
        <v>51</v>
      </c>
      <c r="H37" s="237">
        <v>11</v>
      </c>
      <c r="I37" s="237">
        <v>26</v>
      </c>
      <c r="J37" s="237">
        <v>7</v>
      </c>
      <c r="K37" s="237">
        <f>1+16+4+79+1+85</f>
        <v>186</v>
      </c>
    </row>
    <row r="38" spans="1:11" s="55" customFormat="1" ht="8.1" customHeight="1">
      <c r="A38" s="125"/>
      <c r="B38" s="370"/>
      <c r="C38" s="370"/>
      <c r="D38" s="177"/>
      <c r="E38" s="237"/>
      <c r="F38" s="237"/>
      <c r="G38" s="237"/>
      <c r="H38" s="237"/>
      <c r="I38" s="237"/>
      <c r="J38" s="237"/>
      <c r="K38" s="237"/>
    </row>
    <row r="39" spans="1:11" s="55" customFormat="1" ht="15" customHeight="1">
      <c r="B39" s="62" t="s">
        <v>174</v>
      </c>
      <c r="C39" s="62"/>
      <c r="D39" s="177">
        <v>2015</v>
      </c>
      <c r="E39" s="237">
        <f>SUM(F39:K39)</f>
        <v>83</v>
      </c>
      <c r="F39" s="237">
        <v>32</v>
      </c>
      <c r="G39" s="371" t="s">
        <v>51</v>
      </c>
      <c r="H39" s="371" t="s">
        <v>51</v>
      </c>
      <c r="I39" s="237">
        <v>16</v>
      </c>
      <c r="J39" s="237">
        <v>1</v>
      </c>
      <c r="K39" s="237">
        <v>34</v>
      </c>
    </row>
    <row r="40" spans="1:11" s="55" customFormat="1" ht="15" customHeight="1">
      <c r="B40" s="370"/>
      <c r="C40" s="370"/>
      <c r="D40" s="177">
        <v>2016</v>
      </c>
      <c r="E40" s="237">
        <f>SUM(F40:K40)</f>
        <v>102</v>
      </c>
      <c r="F40" s="237">
        <v>47</v>
      </c>
      <c r="G40" s="371" t="s">
        <v>51</v>
      </c>
      <c r="H40" s="237">
        <v>3</v>
      </c>
      <c r="I40" s="237">
        <v>20</v>
      </c>
      <c r="J40" s="371" t="s">
        <v>51</v>
      </c>
      <c r="K40" s="237">
        <v>32</v>
      </c>
    </row>
    <row r="41" spans="1:11" s="55" customFormat="1" ht="15" customHeight="1">
      <c r="A41" s="125"/>
      <c r="B41" s="370"/>
      <c r="C41" s="370"/>
      <c r="D41" s="177">
        <v>2017</v>
      </c>
      <c r="E41" s="237">
        <f>SUM(F41:K41)</f>
        <v>96</v>
      </c>
      <c r="F41" s="237">
        <f>17+9</f>
        <v>26</v>
      </c>
      <c r="G41" s="237">
        <v>2</v>
      </c>
      <c r="H41" s="237">
        <v>5</v>
      </c>
      <c r="I41" s="237">
        <v>11</v>
      </c>
      <c r="J41" s="371" t="s">
        <v>51</v>
      </c>
      <c r="K41" s="237">
        <f>4+1+6+1+40</f>
        <v>52</v>
      </c>
    </row>
    <row r="42" spans="1:11" s="55" customFormat="1" ht="8.1" customHeight="1">
      <c r="A42" s="125"/>
      <c r="B42" s="370"/>
      <c r="C42" s="370"/>
      <c r="D42" s="177"/>
      <c r="E42" s="237"/>
      <c r="F42" s="237"/>
      <c r="G42" s="237"/>
      <c r="H42" s="237"/>
      <c r="I42" s="237"/>
      <c r="J42" s="237"/>
      <c r="K42" s="237"/>
    </row>
    <row r="43" spans="1:11" s="55" customFormat="1" ht="15" customHeight="1">
      <c r="B43" s="62" t="s">
        <v>175</v>
      </c>
      <c r="C43" s="62"/>
      <c r="D43" s="177">
        <v>2015</v>
      </c>
      <c r="E43" s="237">
        <f>SUM(F43:K43)</f>
        <v>883</v>
      </c>
      <c r="F43" s="237">
        <v>340</v>
      </c>
      <c r="G43" s="237">
        <v>18</v>
      </c>
      <c r="H43" s="237">
        <v>53</v>
      </c>
      <c r="I43" s="237">
        <v>147</v>
      </c>
      <c r="J43" s="237">
        <v>3</v>
      </c>
      <c r="K43" s="237">
        <v>322</v>
      </c>
    </row>
    <row r="44" spans="1:11" s="55" customFormat="1" ht="15" customHeight="1">
      <c r="B44" s="370"/>
      <c r="C44" s="370"/>
      <c r="D44" s="177">
        <v>2016</v>
      </c>
      <c r="E44" s="237">
        <f>SUM(F44:K44)</f>
        <v>896</v>
      </c>
      <c r="F44" s="237">
        <v>371</v>
      </c>
      <c r="G44" s="237">
        <v>13</v>
      </c>
      <c r="H44" s="237">
        <v>43</v>
      </c>
      <c r="I44" s="237">
        <v>132</v>
      </c>
      <c r="J44" s="237">
        <v>18</v>
      </c>
      <c r="K44" s="237">
        <v>319</v>
      </c>
    </row>
    <row r="45" spans="1:11" s="55" customFormat="1" ht="15" customHeight="1">
      <c r="A45" s="115"/>
      <c r="B45" s="370"/>
      <c r="C45" s="370"/>
      <c r="D45" s="177">
        <v>2017</v>
      </c>
      <c r="E45" s="237">
        <f>SUM(F45:K45)</f>
        <v>910</v>
      </c>
      <c r="F45" s="237">
        <f>269+59</f>
        <v>328</v>
      </c>
      <c r="G45" s="237">
        <v>14</v>
      </c>
      <c r="H45" s="237">
        <v>39</v>
      </c>
      <c r="I45" s="237">
        <v>93</v>
      </c>
      <c r="J45" s="237">
        <v>7</v>
      </c>
      <c r="K45" s="237">
        <f>31+24+177+7+190</f>
        <v>429</v>
      </c>
    </row>
    <row r="46" spans="1:11" s="55" customFormat="1" ht="8.1" customHeight="1">
      <c r="A46" s="115"/>
      <c r="B46" s="370"/>
      <c r="C46" s="370"/>
      <c r="D46" s="177"/>
      <c r="E46" s="237"/>
      <c r="F46" s="237"/>
      <c r="G46" s="237"/>
      <c r="H46" s="237"/>
      <c r="I46" s="237"/>
      <c r="J46" s="237"/>
      <c r="K46" s="237"/>
    </row>
    <row r="47" spans="1:11" s="55" customFormat="1" ht="15" customHeight="1">
      <c r="B47" s="62" t="s">
        <v>176</v>
      </c>
      <c r="C47" s="62"/>
      <c r="D47" s="177">
        <v>2015</v>
      </c>
      <c r="E47" s="237">
        <f>SUM(F47:K47)</f>
        <v>20</v>
      </c>
      <c r="F47" s="237">
        <v>10</v>
      </c>
      <c r="G47" s="371" t="s">
        <v>51</v>
      </c>
      <c r="H47" s="237">
        <v>2</v>
      </c>
      <c r="I47" s="237">
        <v>1</v>
      </c>
      <c r="J47" s="371" t="s">
        <v>51</v>
      </c>
      <c r="K47" s="237">
        <v>7</v>
      </c>
    </row>
    <row r="48" spans="1:11" s="55" customFormat="1" ht="15" customHeight="1">
      <c r="B48" s="370"/>
      <c r="C48" s="370"/>
      <c r="D48" s="177">
        <v>2016</v>
      </c>
      <c r="E48" s="237">
        <f>SUM(F48:K48)</f>
        <v>41</v>
      </c>
      <c r="F48" s="237">
        <v>18</v>
      </c>
      <c r="G48" s="237">
        <v>1</v>
      </c>
      <c r="H48" s="237">
        <v>6</v>
      </c>
      <c r="I48" s="237">
        <v>3</v>
      </c>
      <c r="J48" s="371" t="s">
        <v>51</v>
      </c>
      <c r="K48" s="237">
        <v>13</v>
      </c>
    </row>
    <row r="49" spans="1:12" s="55" customFormat="1" ht="15" customHeight="1">
      <c r="A49" s="125"/>
      <c r="B49" s="370"/>
      <c r="C49" s="370"/>
      <c r="D49" s="177">
        <v>2017</v>
      </c>
      <c r="E49" s="237">
        <f>SUM(F49:K49)</f>
        <v>35</v>
      </c>
      <c r="F49" s="237">
        <f>12+7</f>
        <v>19</v>
      </c>
      <c r="G49" s="237">
        <v>1</v>
      </c>
      <c r="H49" s="237">
        <v>1</v>
      </c>
      <c r="I49" s="237">
        <v>4</v>
      </c>
      <c r="J49" s="371" t="s">
        <v>51</v>
      </c>
      <c r="K49" s="237">
        <f>3+1+6</f>
        <v>10</v>
      </c>
    </row>
    <row r="50" spans="1:12" s="55" customFormat="1" ht="8.1" customHeight="1">
      <c r="A50" s="125"/>
      <c r="B50" s="370"/>
      <c r="C50" s="370"/>
      <c r="D50" s="177"/>
      <c r="E50" s="237"/>
      <c r="F50" s="237"/>
      <c r="G50" s="237"/>
      <c r="H50" s="237"/>
      <c r="I50" s="237"/>
      <c r="J50" s="237"/>
      <c r="K50" s="237"/>
    </row>
    <row r="51" spans="1:12" s="55" customFormat="1" ht="15" customHeight="1">
      <c r="B51" s="62" t="s">
        <v>177</v>
      </c>
      <c r="C51" s="62"/>
      <c r="D51" s="177">
        <v>2015</v>
      </c>
      <c r="E51" s="237">
        <f>SUM(F51:K51)</f>
        <v>72</v>
      </c>
      <c r="F51" s="237">
        <v>20</v>
      </c>
      <c r="G51" s="237">
        <v>1</v>
      </c>
      <c r="H51" s="237">
        <v>1</v>
      </c>
      <c r="I51" s="237">
        <v>36</v>
      </c>
      <c r="J51" s="237">
        <v>2</v>
      </c>
      <c r="K51" s="237">
        <v>12</v>
      </c>
    </row>
    <row r="52" spans="1:12" s="55" customFormat="1" ht="15" customHeight="1">
      <c r="B52" s="370"/>
      <c r="C52" s="370"/>
      <c r="D52" s="177">
        <v>2016</v>
      </c>
      <c r="E52" s="237">
        <f>SUM(F52:K52)</f>
        <v>99</v>
      </c>
      <c r="F52" s="237">
        <v>30</v>
      </c>
      <c r="G52" s="237">
        <v>2</v>
      </c>
      <c r="H52" s="237">
        <v>4</v>
      </c>
      <c r="I52" s="237">
        <v>37</v>
      </c>
      <c r="J52" s="237">
        <v>1</v>
      </c>
      <c r="K52" s="237">
        <v>25</v>
      </c>
    </row>
    <row r="53" spans="1:12" s="55" customFormat="1" ht="15" customHeight="1">
      <c r="A53" s="125"/>
      <c r="B53" s="370"/>
      <c r="C53" s="370"/>
      <c r="D53" s="177">
        <v>2017</v>
      </c>
      <c r="E53" s="237">
        <f>SUM(F53:K53)</f>
        <v>103</v>
      </c>
      <c r="F53" s="237">
        <f>35+3</f>
        <v>38</v>
      </c>
      <c r="G53" s="371" t="s">
        <v>51</v>
      </c>
      <c r="H53" s="237">
        <v>5</v>
      </c>
      <c r="I53" s="237">
        <v>29</v>
      </c>
      <c r="J53" s="371" t="s">
        <v>51</v>
      </c>
      <c r="K53" s="237">
        <f>2+3+10+3+13</f>
        <v>31</v>
      </c>
    </row>
    <row r="54" spans="1:12" s="55" customFormat="1" ht="8.1" customHeight="1">
      <c r="A54" s="125"/>
      <c r="B54" s="370"/>
      <c r="C54" s="370"/>
      <c r="D54" s="177"/>
      <c r="E54" s="237"/>
      <c r="F54" s="237"/>
      <c r="G54" s="237"/>
      <c r="H54" s="237"/>
      <c r="I54" s="237"/>
      <c r="J54" s="237"/>
      <c r="K54" s="237"/>
    </row>
    <row r="55" spans="1:12" s="55" customFormat="1" ht="15" customHeight="1">
      <c r="B55" s="62" t="s">
        <v>178</v>
      </c>
      <c r="C55" s="62"/>
      <c r="D55" s="177">
        <v>2015</v>
      </c>
      <c r="E55" s="237">
        <f>SUM(F55:K55)</f>
        <v>185</v>
      </c>
      <c r="F55" s="237">
        <v>50</v>
      </c>
      <c r="G55" s="371" t="s">
        <v>51</v>
      </c>
      <c r="H55" s="371" t="s">
        <v>51</v>
      </c>
      <c r="I55" s="237">
        <v>29</v>
      </c>
      <c r="J55" s="237">
        <v>1</v>
      </c>
      <c r="K55" s="237">
        <v>105</v>
      </c>
    </row>
    <row r="56" spans="1:12" s="55" customFormat="1" ht="15" customHeight="1">
      <c r="A56" s="125"/>
      <c r="B56" s="370"/>
      <c r="C56" s="370"/>
      <c r="D56" s="177">
        <v>2016</v>
      </c>
      <c r="E56" s="237">
        <f>SUM(F56:K56)</f>
        <v>192</v>
      </c>
      <c r="F56" s="237">
        <v>64</v>
      </c>
      <c r="G56" s="371" t="s">
        <v>51</v>
      </c>
      <c r="H56" s="237">
        <v>3</v>
      </c>
      <c r="I56" s="237">
        <v>26</v>
      </c>
      <c r="J56" s="237">
        <v>5</v>
      </c>
      <c r="K56" s="237">
        <v>94</v>
      </c>
    </row>
    <row r="57" spans="1:12" s="55" customFormat="1" ht="15" customHeight="1">
      <c r="A57" s="125"/>
      <c r="B57" s="370"/>
      <c r="C57" s="370"/>
      <c r="D57" s="177">
        <v>2017</v>
      </c>
      <c r="E57" s="237">
        <f>SUM(F57:K57)</f>
        <v>184</v>
      </c>
      <c r="F57" s="237">
        <f>49+3</f>
        <v>52</v>
      </c>
      <c r="G57" s="371" t="s">
        <v>51</v>
      </c>
      <c r="H57" s="237">
        <v>2</v>
      </c>
      <c r="I57" s="237">
        <v>15</v>
      </c>
      <c r="J57" s="371" t="s">
        <v>51</v>
      </c>
      <c r="K57" s="237">
        <f>2+9+41+9+54</f>
        <v>115</v>
      </c>
    </row>
    <row r="58" spans="1:12" ht="8.1" customHeight="1" thickBot="1">
      <c r="A58" s="34"/>
      <c r="B58" s="391"/>
      <c r="C58" s="391"/>
      <c r="D58" s="345"/>
      <c r="E58" s="239"/>
      <c r="F58" s="239"/>
      <c r="G58" s="239"/>
      <c r="H58" s="239"/>
      <c r="I58" s="239"/>
      <c r="J58" s="239"/>
      <c r="K58" s="239"/>
      <c r="L58" s="34"/>
    </row>
    <row r="59" spans="1:12">
      <c r="I59" s="348"/>
      <c r="J59" s="247"/>
      <c r="K59" s="8" t="s">
        <v>104</v>
      </c>
    </row>
    <row r="60" spans="1:12">
      <c r="I60" s="347"/>
      <c r="J60" s="246"/>
      <c r="K60" s="41" t="s">
        <v>1</v>
      </c>
    </row>
  </sheetData>
  <mergeCells count="6">
    <mergeCell ref="B10:C11"/>
    <mergeCell ref="E10:E11"/>
    <mergeCell ref="F10:F11"/>
    <mergeCell ref="G10:I10"/>
    <mergeCell ref="J10:J11"/>
    <mergeCell ref="K10:K11"/>
  </mergeCells>
  <pageMargins left="0.39370078740157483" right="0.39370078740157483" top="0.59055118110236227" bottom="0.59055118110236227" header="0.31496062992125984" footer="0.31496062992125984"/>
  <pageSetup paperSize="9" scale="85" fitToWidth="0" orientation="portrait" r:id="rId1"/>
  <headerFooter>
    <oddHeader xml:space="preserve">&amp;R&amp;"-,Bold"
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P50"/>
  <sheetViews>
    <sheetView showGridLines="0" topLeftCell="A24" zoomScaleNormal="100" zoomScaleSheetLayoutView="100" workbookViewId="0">
      <selection activeCell="AF36" sqref="AF36"/>
    </sheetView>
  </sheetViews>
  <sheetFormatPr defaultRowHeight="15"/>
  <cols>
    <col min="1" max="1" width="1.7109375" style="2" customWidth="1"/>
    <col min="2" max="2" width="10.42578125" style="3" customWidth="1"/>
    <col min="3" max="3" width="8.140625" style="3" customWidth="1"/>
    <col min="4" max="4" width="9.28515625" style="3" customWidth="1"/>
    <col min="5" max="5" width="10.28515625" style="4" customWidth="1"/>
    <col min="6" max="6" width="11.7109375" style="5" customWidth="1"/>
    <col min="7" max="7" width="10.5703125" style="5" customWidth="1"/>
    <col min="8" max="8" width="11.7109375" style="261" customWidth="1"/>
    <col min="9" max="9" width="12.28515625" style="5" customWidth="1"/>
    <col min="10" max="11" width="11.7109375" style="2" customWidth="1"/>
    <col min="12" max="12" width="1.5703125" style="2" customWidth="1"/>
    <col min="13" max="16384" width="9.140625" style="2"/>
  </cols>
  <sheetData>
    <row r="1" spans="1:12" s="30" customFormat="1" ht="12.95" customHeight="1">
      <c r="B1" s="27"/>
      <c r="C1" s="27"/>
      <c r="D1" s="29"/>
      <c r="E1" s="28"/>
      <c r="F1" s="29"/>
      <c r="J1" s="29"/>
      <c r="K1" s="199" t="s">
        <v>188</v>
      </c>
    </row>
    <row r="2" spans="1:12" s="30" customFormat="1" ht="12.95" customHeight="1">
      <c r="B2" s="27"/>
      <c r="C2" s="27"/>
      <c r="D2" s="29"/>
      <c r="E2" s="28"/>
      <c r="F2" s="29"/>
      <c r="J2" s="29"/>
      <c r="K2" s="75" t="s">
        <v>189</v>
      </c>
    </row>
    <row r="3" spans="1:12" s="30" customFormat="1" ht="12" customHeight="1">
      <c r="B3" s="27"/>
      <c r="C3" s="27"/>
      <c r="D3" s="29"/>
      <c r="E3" s="28"/>
      <c r="F3" s="29"/>
      <c r="G3" s="75"/>
      <c r="J3" s="29"/>
    </row>
    <row r="4" spans="1:12" s="30" customFormat="1" ht="12" customHeight="1">
      <c r="B4" s="27"/>
      <c r="C4" s="27"/>
      <c r="D4" s="29"/>
      <c r="E4" s="28"/>
      <c r="F4" s="29"/>
      <c r="G4" s="75"/>
      <c r="J4" s="29"/>
    </row>
    <row r="5" spans="1:12" s="55" customFormat="1" ht="9.9499999999999993" customHeight="1">
      <c r="B5" s="124"/>
      <c r="C5" s="124"/>
      <c r="D5" s="265"/>
      <c r="E5" s="266"/>
      <c r="F5" s="265"/>
      <c r="G5" s="265"/>
      <c r="H5" s="267"/>
      <c r="I5" s="265"/>
      <c r="J5" s="123"/>
    </row>
    <row r="6" spans="1:12" s="55" customFormat="1" ht="15" customHeight="1">
      <c r="B6" s="70" t="s">
        <v>234</v>
      </c>
      <c r="C6" s="71" t="s">
        <v>241</v>
      </c>
      <c r="D6" s="265"/>
      <c r="E6" s="266"/>
      <c r="F6" s="71"/>
      <c r="G6" s="71"/>
      <c r="H6" s="71"/>
      <c r="I6" s="71"/>
      <c r="J6" s="88"/>
      <c r="K6" s="71"/>
      <c r="L6" s="241"/>
    </row>
    <row r="7" spans="1:12" s="55" customFormat="1" ht="18" customHeight="1">
      <c r="B7" s="89" t="s">
        <v>236</v>
      </c>
      <c r="C7" s="95" t="s">
        <v>242</v>
      </c>
      <c r="D7" s="265"/>
      <c r="E7" s="266"/>
      <c r="F7" s="95"/>
      <c r="G7" s="95"/>
      <c r="H7" s="95"/>
      <c r="I7" s="95"/>
      <c r="J7" s="339"/>
      <c r="K7" s="95"/>
      <c r="L7" s="243"/>
    </row>
    <row r="8" spans="1:12" s="55" customFormat="1" ht="8.1" customHeight="1" thickBot="1">
      <c r="B8" s="282"/>
      <c r="C8" s="282"/>
      <c r="D8" s="311"/>
      <c r="E8" s="310"/>
      <c r="F8" s="311"/>
      <c r="G8" s="311"/>
      <c r="H8" s="312"/>
      <c r="I8" s="311"/>
      <c r="J8" s="172"/>
      <c r="K8" s="125"/>
    </row>
    <row r="9" spans="1:12" s="55" customFormat="1" ht="8.1" customHeight="1" thickTop="1">
      <c r="A9" s="268"/>
      <c r="B9" s="270"/>
      <c r="C9" s="270"/>
      <c r="D9" s="273"/>
      <c r="E9" s="313"/>
      <c r="F9" s="273"/>
      <c r="G9" s="273"/>
      <c r="H9" s="314"/>
      <c r="I9" s="273"/>
      <c r="J9" s="272"/>
      <c r="K9" s="268"/>
      <c r="L9" s="268"/>
    </row>
    <row r="10" spans="1:12" s="55" customFormat="1" ht="30.75" customHeight="1">
      <c r="A10" s="249"/>
      <c r="B10" s="315" t="s">
        <v>238</v>
      </c>
      <c r="C10" s="315"/>
      <c r="D10" s="350" t="s">
        <v>100</v>
      </c>
      <c r="E10" s="259" t="s">
        <v>95</v>
      </c>
      <c r="F10" s="259" t="s">
        <v>239</v>
      </c>
      <c r="G10" s="255" t="s">
        <v>218</v>
      </c>
      <c r="H10" s="255"/>
      <c r="I10" s="255"/>
      <c r="J10" s="256" t="s">
        <v>219</v>
      </c>
      <c r="K10" s="259" t="s">
        <v>220</v>
      </c>
      <c r="L10" s="249"/>
    </row>
    <row r="11" spans="1:12" s="111" customFormat="1" ht="55.5" customHeight="1">
      <c r="A11" s="257"/>
      <c r="B11" s="317"/>
      <c r="C11" s="317"/>
      <c r="D11" s="340"/>
      <c r="E11" s="318"/>
      <c r="F11" s="318"/>
      <c r="G11" s="319" t="s">
        <v>221</v>
      </c>
      <c r="H11" s="319" t="s">
        <v>222</v>
      </c>
      <c r="I11" s="319" t="s">
        <v>240</v>
      </c>
      <c r="J11" s="260"/>
      <c r="K11" s="318"/>
      <c r="L11" s="257"/>
    </row>
    <row r="12" spans="1:12" s="6" customFormat="1" ht="8.1" customHeight="1">
      <c r="A12" s="24"/>
      <c r="B12" s="377"/>
      <c r="C12" s="377"/>
      <c r="D12" s="390"/>
      <c r="E12" s="379"/>
      <c r="F12" s="380"/>
      <c r="G12" s="379"/>
      <c r="H12" s="379"/>
      <c r="I12" s="379"/>
      <c r="J12" s="380"/>
      <c r="K12" s="379"/>
    </row>
    <row r="13" spans="1:12" s="111" customFormat="1" ht="15.95" customHeight="1">
      <c r="A13" s="55"/>
      <c r="B13" s="68" t="s">
        <v>244</v>
      </c>
      <c r="C13" s="68"/>
      <c r="D13" s="69">
        <v>2015</v>
      </c>
      <c r="E13" s="233">
        <f>SUM(F13:K13)</f>
        <v>6377</v>
      </c>
      <c r="F13" s="233">
        <v>1273</v>
      </c>
      <c r="G13" s="233">
        <v>200</v>
      </c>
      <c r="H13" s="233">
        <v>840</v>
      </c>
      <c r="I13" s="233">
        <v>2778</v>
      </c>
      <c r="J13" s="233">
        <v>108</v>
      </c>
      <c r="K13" s="233">
        <v>1178</v>
      </c>
    </row>
    <row r="14" spans="1:12" s="111" customFormat="1" ht="15.95" customHeight="1">
      <c r="A14" s="55"/>
      <c r="B14" s="68"/>
      <c r="C14" s="68"/>
      <c r="D14" s="69">
        <v>2016</v>
      </c>
      <c r="E14" s="233">
        <f t="shared" ref="E14:E15" si="0">SUM(F14:K14)</f>
        <v>5873</v>
      </c>
      <c r="F14" s="233">
        <v>1540</v>
      </c>
      <c r="G14" s="233">
        <v>174</v>
      </c>
      <c r="H14" s="233">
        <v>748</v>
      </c>
      <c r="I14" s="233">
        <v>2006</v>
      </c>
      <c r="J14" s="233">
        <v>75</v>
      </c>
      <c r="K14" s="233">
        <v>1330</v>
      </c>
    </row>
    <row r="15" spans="1:12" s="111" customFormat="1" ht="15.95" customHeight="1">
      <c r="A15" s="55"/>
      <c r="B15" s="68"/>
      <c r="C15" s="68"/>
      <c r="D15" s="69">
        <v>2017</v>
      </c>
      <c r="E15" s="233">
        <f t="shared" si="0"/>
        <v>5505</v>
      </c>
      <c r="F15" s="233">
        <v>1314</v>
      </c>
      <c r="G15" s="233">
        <v>75</v>
      </c>
      <c r="H15" s="233">
        <v>576</v>
      </c>
      <c r="I15" s="233">
        <v>2256</v>
      </c>
      <c r="J15" s="233">
        <v>1</v>
      </c>
      <c r="K15" s="233">
        <v>1283</v>
      </c>
    </row>
    <row r="16" spans="1:12" s="111" customFormat="1" ht="15" customHeight="1">
      <c r="A16" s="55"/>
      <c r="B16" s="68"/>
      <c r="C16" s="68"/>
      <c r="D16" s="69"/>
      <c r="E16" s="233"/>
      <c r="F16" s="233"/>
      <c r="G16" s="233"/>
      <c r="H16" s="233"/>
      <c r="I16" s="233"/>
      <c r="J16" s="233"/>
      <c r="K16" s="233"/>
    </row>
    <row r="17" spans="1:16" s="55" customFormat="1" ht="15.95" customHeight="1">
      <c r="B17" s="370" t="s">
        <v>130</v>
      </c>
      <c r="C17" s="62"/>
      <c r="D17" s="170">
        <v>2015</v>
      </c>
      <c r="E17" s="237">
        <f t="shared" ref="E17:E19" si="1">SUM(F17:K17)</f>
        <v>33</v>
      </c>
      <c r="F17" s="237">
        <v>10</v>
      </c>
      <c r="G17" s="237">
        <v>1</v>
      </c>
      <c r="H17" s="237">
        <v>2</v>
      </c>
      <c r="I17" s="237">
        <v>18</v>
      </c>
      <c r="J17" s="371" t="s">
        <v>51</v>
      </c>
      <c r="K17" s="237">
        <v>2</v>
      </c>
    </row>
    <row r="18" spans="1:16" s="55" customFormat="1" ht="15.95" customHeight="1">
      <c r="A18" s="92"/>
      <c r="B18" s="370"/>
      <c r="C18" s="62"/>
      <c r="D18" s="170">
        <v>2016</v>
      </c>
      <c r="E18" s="237">
        <f t="shared" si="1"/>
        <v>41</v>
      </c>
      <c r="F18" s="237">
        <v>9</v>
      </c>
      <c r="G18" s="237">
        <v>3</v>
      </c>
      <c r="H18" s="237">
        <v>2</v>
      </c>
      <c r="I18" s="237">
        <v>25</v>
      </c>
      <c r="J18" s="371" t="s">
        <v>51</v>
      </c>
      <c r="K18" s="237">
        <v>2</v>
      </c>
      <c r="P18" s="55" t="s">
        <v>245</v>
      </c>
    </row>
    <row r="19" spans="1:16" s="55" customFormat="1" ht="15.95" customHeight="1">
      <c r="A19" s="111"/>
      <c r="B19" s="370"/>
      <c r="C19" s="62"/>
      <c r="D19" s="170">
        <v>2017</v>
      </c>
      <c r="E19" s="237">
        <f t="shared" si="1"/>
        <v>39</v>
      </c>
      <c r="F19" s="237">
        <f>8+1</f>
        <v>9</v>
      </c>
      <c r="G19" s="237">
        <f>1+1</f>
        <v>2</v>
      </c>
      <c r="H19" s="237">
        <v>1</v>
      </c>
      <c r="I19" s="237">
        <v>23</v>
      </c>
      <c r="J19" s="371" t="s">
        <v>51</v>
      </c>
      <c r="K19" s="237">
        <f>1+2+1</f>
        <v>4</v>
      </c>
    </row>
    <row r="20" spans="1:16" s="55" customFormat="1" ht="15" customHeight="1">
      <c r="A20" s="111"/>
      <c r="B20" s="370"/>
      <c r="C20" s="62"/>
      <c r="D20" s="170"/>
      <c r="E20" s="237"/>
      <c r="F20" s="237"/>
      <c r="G20" s="237"/>
      <c r="H20" s="237"/>
      <c r="I20" s="237"/>
      <c r="J20" s="237"/>
      <c r="K20" s="237"/>
    </row>
    <row r="21" spans="1:16" s="55" customFormat="1" ht="15.95" customHeight="1">
      <c r="B21" s="370" t="s">
        <v>131</v>
      </c>
      <c r="C21" s="62"/>
      <c r="D21" s="170">
        <v>2015</v>
      </c>
      <c r="E21" s="237">
        <f t="shared" ref="E21:E23" si="2">SUM(F21:K21)</f>
        <v>71</v>
      </c>
      <c r="F21" s="237">
        <v>7</v>
      </c>
      <c r="G21" s="371" t="s">
        <v>51</v>
      </c>
      <c r="H21" s="237">
        <v>2</v>
      </c>
      <c r="I21" s="237">
        <v>3</v>
      </c>
      <c r="J21" s="371" t="s">
        <v>51</v>
      </c>
      <c r="K21" s="237">
        <v>59</v>
      </c>
    </row>
    <row r="22" spans="1:16" s="55" customFormat="1" ht="15.95" customHeight="1">
      <c r="B22" s="370"/>
      <c r="C22" s="62"/>
      <c r="D22" s="170">
        <v>2016</v>
      </c>
      <c r="E22" s="237">
        <f t="shared" si="2"/>
        <v>55</v>
      </c>
      <c r="F22" s="237">
        <v>9</v>
      </c>
      <c r="G22" s="371" t="s">
        <v>51</v>
      </c>
      <c r="H22" s="371" t="s">
        <v>51</v>
      </c>
      <c r="I22" s="237">
        <v>2</v>
      </c>
      <c r="J22" s="371" t="s">
        <v>51</v>
      </c>
      <c r="K22" s="237">
        <v>44</v>
      </c>
    </row>
    <row r="23" spans="1:16" s="55" customFormat="1" ht="15.95" customHeight="1">
      <c r="A23" s="111"/>
      <c r="B23" s="370"/>
      <c r="C23" s="62"/>
      <c r="D23" s="170">
        <v>2017</v>
      </c>
      <c r="E23" s="237">
        <f t="shared" si="2"/>
        <v>67</v>
      </c>
      <c r="F23" s="237">
        <f>17+3</f>
        <v>20</v>
      </c>
      <c r="G23" s="237">
        <v>1</v>
      </c>
      <c r="H23" s="371" t="s">
        <v>51</v>
      </c>
      <c r="I23" s="237">
        <v>2</v>
      </c>
      <c r="J23" s="371" t="s">
        <v>51</v>
      </c>
      <c r="K23" s="237">
        <f>1+1+9+1+32</f>
        <v>44</v>
      </c>
    </row>
    <row r="24" spans="1:16" s="55" customFormat="1" ht="15" customHeight="1">
      <c r="A24" s="111"/>
      <c r="B24" s="370"/>
      <c r="C24" s="62"/>
      <c r="D24" s="170"/>
      <c r="E24" s="237"/>
      <c r="F24" s="237"/>
      <c r="G24" s="237"/>
      <c r="H24" s="237"/>
      <c r="I24" s="237"/>
      <c r="J24" s="237"/>
      <c r="K24" s="237"/>
    </row>
    <row r="25" spans="1:16" s="55" customFormat="1" ht="15.95" customHeight="1">
      <c r="B25" s="370" t="s">
        <v>132</v>
      </c>
      <c r="C25" s="62"/>
      <c r="D25" s="170">
        <v>2015</v>
      </c>
      <c r="E25" s="237">
        <f t="shared" ref="E25:E27" si="3">SUM(F25:K25)</f>
        <v>78</v>
      </c>
      <c r="F25" s="237">
        <v>23</v>
      </c>
      <c r="G25" s="237">
        <v>1</v>
      </c>
      <c r="H25" s="237">
        <v>2</v>
      </c>
      <c r="I25" s="237">
        <v>44</v>
      </c>
      <c r="J25" s="371" t="s">
        <v>51</v>
      </c>
      <c r="K25" s="237">
        <v>8</v>
      </c>
    </row>
    <row r="26" spans="1:16" s="55" customFormat="1" ht="15.95" customHeight="1">
      <c r="B26" s="370"/>
      <c r="C26" s="62"/>
      <c r="D26" s="170">
        <v>2016</v>
      </c>
      <c r="E26" s="237">
        <f t="shared" si="3"/>
        <v>69</v>
      </c>
      <c r="F26" s="237">
        <v>14</v>
      </c>
      <c r="G26" s="371" t="s">
        <v>51</v>
      </c>
      <c r="H26" s="237">
        <v>4</v>
      </c>
      <c r="I26" s="237">
        <v>37</v>
      </c>
      <c r="J26" s="371" t="s">
        <v>51</v>
      </c>
      <c r="K26" s="237">
        <v>14</v>
      </c>
      <c r="O26" s="111"/>
    </row>
    <row r="27" spans="1:16" s="55" customFormat="1" ht="15.95" customHeight="1">
      <c r="A27" s="111"/>
      <c r="B27" s="370"/>
      <c r="C27" s="62"/>
      <c r="D27" s="170">
        <v>2017</v>
      </c>
      <c r="E27" s="237">
        <f t="shared" si="3"/>
        <v>45</v>
      </c>
      <c r="F27" s="237">
        <f>15+1</f>
        <v>16</v>
      </c>
      <c r="G27" s="237">
        <v>1</v>
      </c>
      <c r="H27" s="237">
        <v>4</v>
      </c>
      <c r="I27" s="237">
        <v>17</v>
      </c>
      <c r="J27" s="371" t="s">
        <v>51</v>
      </c>
      <c r="K27" s="237">
        <f>5+2</f>
        <v>7</v>
      </c>
    </row>
    <row r="28" spans="1:16" s="55" customFormat="1" ht="15" customHeight="1">
      <c r="A28" s="111"/>
      <c r="B28" s="370"/>
      <c r="C28" s="62"/>
      <c r="D28" s="170"/>
      <c r="E28" s="237"/>
      <c r="F28" s="237"/>
      <c r="G28" s="237"/>
      <c r="H28" s="237"/>
      <c r="I28" s="237"/>
      <c r="J28" s="237"/>
      <c r="K28" s="237"/>
    </row>
    <row r="29" spans="1:16" s="55" customFormat="1" ht="15.95" customHeight="1">
      <c r="B29" s="370" t="s">
        <v>133</v>
      </c>
      <c r="C29" s="62"/>
      <c r="D29" s="170">
        <v>2015</v>
      </c>
      <c r="E29" s="237">
        <f t="shared" ref="E29:E31" si="4">SUM(F29:K29)</f>
        <v>770</v>
      </c>
      <c r="F29" s="237">
        <v>145</v>
      </c>
      <c r="G29" s="237">
        <v>56</v>
      </c>
      <c r="H29" s="237">
        <v>185</v>
      </c>
      <c r="I29" s="237">
        <v>294</v>
      </c>
      <c r="J29" s="237">
        <v>10</v>
      </c>
      <c r="K29" s="237">
        <v>80</v>
      </c>
    </row>
    <row r="30" spans="1:16" s="55" customFormat="1" ht="15.95" customHeight="1">
      <c r="B30" s="370"/>
      <c r="C30" s="62"/>
      <c r="D30" s="170">
        <v>2016</v>
      </c>
      <c r="E30" s="237">
        <f t="shared" si="4"/>
        <v>610</v>
      </c>
      <c r="F30" s="237">
        <v>157</v>
      </c>
      <c r="G30" s="237">
        <v>23</v>
      </c>
      <c r="H30" s="237">
        <v>115</v>
      </c>
      <c r="I30" s="237">
        <v>166</v>
      </c>
      <c r="J30" s="237">
        <v>3</v>
      </c>
      <c r="K30" s="237">
        <v>146</v>
      </c>
    </row>
    <row r="31" spans="1:16" s="55" customFormat="1" ht="15.95" customHeight="1">
      <c r="A31" s="111"/>
      <c r="B31" s="370"/>
      <c r="C31" s="62"/>
      <c r="D31" s="170">
        <v>2017</v>
      </c>
      <c r="E31" s="237">
        <f t="shared" si="4"/>
        <v>522</v>
      </c>
      <c r="F31" s="237">
        <f>110+35</f>
        <v>145</v>
      </c>
      <c r="G31" s="237">
        <v>13</v>
      </c>
      <c r="H31" s="237">
        <v>68</v>
      </c>
      <c r="I31" s="237">
        <v>152</v>
      </c>
      <c r="J31" s="371" t="s">
        <v>51</v>
      </c>
      <c r="K31" s="237">
        <f>3+4+28+6+103</f>
        <v>144</v>
      </c>
    </row>
    <row r="32" spans="1:16" s="55" customFormat="1" ht="15" customHeight="1">
      <c r="A32" s="111"/>
      <c r="B32" s="370"/>
      <c r="C32" s="62"/>
      <c r="D32" s="170"/>
      <c r="E32" s="237"/>
      <c r="F32" s="237"/>
      <c r="G32" s="237"/>
      <c r="H32" s="237"/>
      <c r="I32" s="237"/>
      <c r="J32" s="237"/>
      <c r="K32" s="237"/>
    </row>
    <row r="33" spans="1:12" s="55" customFormat="1" ht="15.95" customHeight="1">
      <c r="B33" s="370" t="s">
        <v>134</v>
      </c>
      <c r="C33" s="62"/>
      <c r="D33" s="170">
        <v>2015</v>
      </c>
      <c r="E33" s="237">
        <f t="shared" ref="E33:E35" si="5">SUM(F33:K33)</f>
        <v>3</v>
      </c>
      <c r="F33" s="371" t="s">
        <v>51</v>
      </c>
      <c r="G33" s="371" t="s">
        <v>51</v>
      </c>
      <c r="H33" s="371" t="s">
        <v>51</v>
      </c>
      <c r="I33" s="237">
        <v>2</v>
      </c>
      <c r="J33" s="371" t="s">
        <v>51</v>
      </c>
      <c r="K33" s="237">
        <v>1</v>
      </c>
    </row>
    <row r="34" spans="1:12" s="55" customFormat="1" ht="15.95" customHeight="1">
      <c r="B34" s="370"/>
      <c r="C34" s="62"/>
      <c r="D34" s="170">
        <v>2016</v>
      </c>
      <c r="E34" s="237">
        <f t="shared" si="5"/>
        <v>31</v>
      </c>
      <c r="F34" s="237">
        <v>13</v>
      </c>
      <c r="G34" s="237">
        <v>4</v>
      </c>
      <c r="H34" s="237">
        <v>1</v>
      </c>
      <c r="I34" s="237">
        <v>2</v>
      </c>
      <c r="J34" s="371" t="s">
        <v>51</v>
      </c>
      <c r="K34" s="237">
        <v>11</v>
      </c>
    </row>
    <row r="35" spans="1:12" s="55" customFormat="1" ht="15.95" customHeight="1">
      <c r="A35" s="111"/>
      <c r="B35" s="370"/>
      <c r="C35" s="62"/>
      <c r="D35" s="170">
        <v>2017</v>
      </c>
      <c r="E35" s="237">
        <f t="shared" si="5"/>
        <v>26</v>
      </c>
      <c r="F35" s="237">
        <f>6+2</f>
        <v>8</v>
      </c>
      <c r="G35" s="371" t="s">
        <v>51</v>
      </c>
      <c r="H35" s="237">
        <v>1</v>
      </c>
      <c r="I35" s="237">
        <v>10</v>
      </c>
      <c r="J35" s="371" t="s">
        <v>51</v>
      </c>
      <c r="K35" s="237">
        <f>2+1+4</f>
        <v>7</v>
      </c>
    </row>
    <row r="36" spans="1:12" s="55" customFormat="1" ht="15" customHeight="1">
      <c r="A36" s="111"/>
      <c r="B36" s="370"/>
      <c r="C36" s="62"/>
      <c r="D36" s="170"/>
      <c r="E36" s="237"/>
      <c r="F36" s="237"/>
      <c r="G36" s="237"/>
      <c r="H36" s="237"/>
      <c r="I36" s="237"/>
      <c r="J36" s="237"/>
      <c r="K36" s="237"/>
    </row>
    <row r="37" spans="1:12" s="55" customFormat="1" ht="15.95" customHeight="1">
      <c r="B37" s="370" t="s">
        <v>135</v>
      </c>
      <c r="C37" s="62"/>
      <c r="D37" s="170">
        <v>2015</v>
      </c>
      <c r="E37" s="237">
        <f t="shared" ref="E37:E39" si="6">SUM(F37:K37)</f>
        <v>5</v>
      </c>
      <c r="F37" s="237">
        <v>2</v>
      </c>
      <c r="G37" s="237">
        <v>1</v>
      </c>
      <c r="H37" s="371" t="s">
        <v>51</v>
      </c>
      <c r="I37" s="237">
        <v>1</v>
      </c>
      <c r="J37" s="371" t="s">
        <v>51</v>
      </c>
      <c r="K37" s="237">
        <v>1</v>
      </c>
    </row>
    <row r="38" spans="1:12" s="55" customFormat="1" ht="15.95" customHeight="1">
      <c r="B38" s="370"/>
      <c r="C38" s="62"/>
      <c r="D38" s="170">
        <v>2016</v>
      </c>
      <c r="E38" s="237">
        <f t="shared" si="6"/>
        <v>10</v>
      </c>
      <c r="F38" s="237">
        <v>1</v>
      </c>
      <c r="G38" s="237">
        <v>1</v>
      </c>
      <c r="H38" s="237">
        <v>2</v>
      </c>
      <c r="I38" s="237">
        <v>2</v>
      </c>
      <c r="J38" s="371" t="s">
        <v>51</v>
      </c>
      <c r="K38" s="237">
        <v>4</v>
      </c>
    </row>
    <row r="39" spans="1:12" s="55" customFormat="1" ht="15.95" customHeight="1">
      <c r="A39" s="111"/>
      <c r="B39" s="370"/>
      <c r="C39" s="62"/>
      <c r="D39" s="170">
        <v>2017</v>
      </c>
      <c r="E39" s="237">
        <f t="shared" si="6"/>
        <v>6</v>
      </c>
      <c r="F39" s="237">
        <v>1</v>
      </c>
      <c r="G39" s="371" t="s">
        <v>51</v>
      </c>
      <c r="H39" s="237">
        <v>1</v>
      </c>
      <c r="I39" s="237">
        <v>2</v>
      </c>
      <c r="J39" s="371" t="s">
        <v>51</v>
      </c>
      <c r="K39" s="237">
        <f>1+1</f>
        <v>2</v>
      </c>
    </row>
    <row r="40" spans="1:12" s="55" customFormat="1" ht="15" customHeight="1">
      <c r="A40" s="111"/>
      <c r="B40" s="370"/>
      <c r="C40" s="62"/>
      <c r="D40" s="170"/>
      <c r="E40" s="237"/>
      <c r="F40" s="237"/>
      <c r="G40" s="237"/>
      <c r="H40" s="237"/>
      <c r="I40" s="237"/>
      <c r="J40" s="237"/>
      <c r="K40" s="237"/>
    </row>
    <row r="41" spans="1:12" s="55" customFormat="1" ht="15.95" customHeight="1">
      <c r="B41" s="370" t="s">
        <v>136</v>
      </c>
      <c r="C41" s="62"/>
      <c r="D41" s="170">
        <v>2015</v>
      </c>
      <c r="E41" s="237">
        <f t="shared" ref="E41:E43" si="7">SUM(F41:K41)</f>
        <v>21</v>
      </c>
      <c r="F41" s="237">
        <v>3</v>
      </c>
      <c r="G41" s="371" t="s">
        <v>51</v>
      </c>
      <c r="H41" s="237">
        <v>3</v>
      </c>
      <c r="I41" s="237">
        <v>3</v>
      </c>
      <c r="J41" s="371" t="s">
        <v>51</v>
      </c>
      <c r="K41" s="237">
        <v>12</v>
      </c>
    </row>
    <row r="42" spans="1:12" s="55" customFormat="1" ht="15.95" customHeight="1">
      <c r="B42" s="370"/>
      <c r="C42" s="62"/>
      <c r="D42" s="170">
        <v>2016</v>
      </c>
      <c r="E42" s="237">
        <f t="shared" si="7"/>
        <v>22</v>
      </c>
      <c r="F42" s="237">
        <v>2</v>
      </c>
      <c r="G42" s="371" t="s">
        <v>51</v>
      </c>
      <c r="H42" s="237">
        <v>3</v>
      </c>
      <c r="I42" s="237">
        <v>6</v>
      </c>
      <c r="J42" s="371" t="s">
        <v>51</v>
      </c>
      <c r="K42" s="237">
        <v>11</v>
      </c>
    </row>
    <row r="43" spans="1:12" s="55" customFormat="1" ht="15.95" customHeight="1">
      <c r="A43" s="111"/>
      <c r="B43" s="370"/>
      <c r="C43" s="62"/>
      <c r="D43" s="170">
        <v>2017</v>
      </c>
      <c r="E43" s="237">
        <f t="shared" si="7"/>
        <v>23</v>
      </c>
      <c r="F43" s="237">
        <v>1</v>
      </c>
      <c r="G43" s="237">
        <v>1</v>
      </c>
      <c r="H43" s="237">
        <v>5</v>
      </c>
      <c r="I43" s="237">
        <v>10</v>
      </c>
      <c r="J43" s="371" t="s">
        <v>51</v>
      </c>
      <c r="K43" s="237">
        <f>1+1+4</f>
        <v>6</v>
      </c>
    </row>
    <row r="44" spans="1:12" s="55" customFormat="1" ht="15" customHeight="1">
      <c r="A44" s="111"/>
      <c r="B44" s="370"/>
      <c r="C44" s="62"/>
      <c r="D44" s="170"/>
      <c r="E44" s="237"/>
      <c r="F44" s="237"/>
      <c r="G44" s="237"/>
      <c r="H44" s="237"/>
      <c r="I44" s="237"/>
      <c r="J44" s="237"/>
      <c r="K44" s="237"/>
    </row>
    <row r="45" spans="1:12" s="55" customFormat="1" ht="15.95" customHeight="1">
      <c r="B45" s="370" t="s">
        <v>137</v>
      </c>
      <c r="C45" s="62"/>
      <c r="D45" s="170">
        <v>2015</v>
      </c>
      <c r="E45" s="237">
        <f t="shared" ref="E45:E47" si="8">SUM(F45:K45)</f>
        <v>78</v>
      </c>
      <c r="F45" s="237">
        <v>14</v>
      </c>
      <c r="G45" s="371" t="s">
        <v>51</v>
      </c>
      <c r="H45" s="371" t="s">
        <v>51</v>
      </c>
      <c r="I45" s="237">
        <v>21</v>
      </c>
      <c r="J45" s="371" t="s">
        <v>51</v>
      </c>
      <c r="K45" s="237">
        <v>43</v>
      </c>
    </row>
    <row r="46" spans="1:12" s="55" customFormat="1" ht="15.95" customHeight="1">
      <c r="B46" s="370"/>
      <c r="C46" s="62"/>
      <c r="D46" s="170">
        <v>2016</v>
      </c>
      <c r="E46" s="237">
        <f t="shared" si="8"/>
        <v>56</v>
      </c>
      <c r="F46" s="237">
        <v>7</v>
      </c>
      <c r="G46" s="237">
        <v>1</v>
      </c>
      <c r="H46" s="371" t="s">
        <v>51</v>
      </c>
      <c r="I46" s="237">
        <v>27</v>
      </c>
      <c r="J46" s="371" t="s">
        <v>51</v>
      </c>
      <c r="K46" s="237">
        <v>21</v>
      </c>
    </row>
    <row r="47" spans="1:12" s="55" customFormat="1" ht="15.95" customHeight="1">
      <c r="A47" s="111"/>
      <c r="B47" s="370"/>
      <c r="C47" s="62"/>
      <c r="D47" s="170">
        <v>2017</v>
      </c>
      <c r="E47" s="237">
        <f t="shared" si="8"/>
        <v>57</v>
      </c>
      <c r="F47" s="237">
        <f>18+3</f>
        <v>21</v>
      </c>
      <c r="G47" s="371" t="s">
        <v>51</v>
      </c>
      <c r="H47" s="371" t="s">
        <v>51</v>
      </c>
      <c r="I47" s="237">
        <v>4</v>
      </c>
      <c r="J47" s="371" t="s">
        <v>51</v>
      </c>
      <c r="K47" s="237">
        <f>1+2+10+19</f>
        <v>32</v>
      </c>
    </row>
    <row r="48" spans="1:12" ht="8.1" customHeight="1" thickBot="1">
      <c r="A48" s="109"/>
      <c r="B48" s="391"/>
      <c r="C48" s="16"/>
      <c r="D48" s="213"/>
      <c r="E48" s="239"/>
      <c r="F48" s="239"/>
      <c r="G48" s="239"/>
      <c r="H48" s="239"/>
      <c r="I48" s="239"/>
      <c r="J48" s="239"/>
      <c r="K48" s="239"/>
      <c r="L48" s="34"/>
    </row>
    <row r="49" spans="2:11">
      <c r="B49" s="244"/>
      <c r="C49" s="244"/>
      <c r="D49" s="244"/>
      <c r="E49" s="245"/>
      <c r="F49" s="246"/>
      <c r="G49" s="348"/>
      <c r="H49" s="247"/>
      <c r="I49" s="7"/>
      <c r="J49" s="7"/>
      <c r="K49" s="8" t="s">
        <v>104</v>
      </c>
    </row>
    <row r="50" spans="2:11">
      <c r="B50" s="346"/>
      <c r="C50" s="346"/>
      <c r="D50" s="346"/>
      <c r="E50" s="349"/>
      <c r="F50" s="347"/>
      <c r="G50" s="347"/>
      <c r="H50" s="246"/>
      <c r="I50" s="346"/>
      <c r="J50" s="346"/>
      <c r="K50" s="41" t="s">
        <v>1</v>
      </c>
    </row>
  </sheetData>
  <mergeCells count="6">
    <mergeCell ref="B10:C11"/>
    <mergeCell ref="E10:E11"/>
    <mergeCell ref="F10:F11"/>
    <mergeCell ref="G10:I10"/>
    <mergeCell ref="J10:J11"/>
    <mergeCell ref="K10:K11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5" fitToWidth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56"/>
  <sheetViews>
    <sheetView showGridLines="0" zoomScaleNormal="100" zoomScaleSheetLayoutView="100" workbookViewId="0">
      <selection activeCell="AF36" sqref="AF36"/>
    </sheetView>
  </sheetViews>
  <sheetFormatPr defaultRowHeight="15"/>
  <cols>
    <col min="1" max="1" width="1.7109375" style="2" customWidth="1"/>
    <col min="2" max="2" width="10.5703125" style="3" customWidth="1"/>
    <col min="3" max="3" width="8.85546875" style="3" customWidth="1"/>
    <col min="4" max="4" width="9.42578125" style="3" customWidth="1"/>
    <col min="5" max="5" width="11.7109375" style="4" customWidth="1"/>
    <col min="6" max="6" width="11.7109375" style="5" customWidth="1"/>
    <col min="7" max="7" width="10.140625" style="5" customWidth="1"/>
    <col min="8" max="8" width="11.7109375" style="261" customWidth="1"/>
    <col min="9" max="9" width="12.28515625" style="5" customWidth="1"/>
    <col min="10" max="10" width="10.140625" style="2" customWidth="1"/>
    <col min="11" max="11" width="11.7109375" style="2" customWidth="1"/>
    <col min="12" max="12" width="1.5703125" style="2" customWidth="1"/>
    <col min="13" max="16384" width="9.140625" style="2"/>
  </cols>
  <sheetData>
    <row r="1" spans="1:12" s="30" customFormat="1" ht="12.95" customHeight="1">
      <c r="B1" s="27"/>
      <c r="C1" s="27"/>
      <c r="D1" s="29"/>
      <c r="E1" s="28"/>
      <c r="F1" s="29"/>
      <c r="J1" s="29"/>
      <c r="K1" s="199" t="s">
        <v>188</v>
      </c>
    </row>
    <row r="2" spans="1:12" s="30" customFormat="1" ht="12.95" customHeight="1">
      <c r="B2" s="27"/>
      <c r="C2" s="27"/>
      <c r="D2" s="29"/>
      <c r="E2" s="28"/>
      <c r="F2" s="29"/>
      <c r="J2" s="29"/>
      <c r="K2" s="75" t="s">
        <v>189</v>
      </c>
    </row>
    <row r="3" spans="1:12" s="30" customFormat="1" ht="12" customHeight="1">
      <c r="B3" s="27"/>
      <c r="C3" s="27"/>
      <c r="D3" s="29"/>
      <c r="E3" s="28"/>
      <c r="F3" s="29"/>
      <c r="G3" s="75"/>
      <c r="J3" s="29"/>
    </row>
    <row r="4" spans="1:12" s="30" customFormat="1" ht="12" customHeight="1">
      <c r="B4" s="27"/>
      <c r="C4" s="27"/>
      <c r="D4" s="29"/>
      <c r="E4" s="28"/>
      <c r="F4" s="29"/>
      <c r="G4" s="75"/>
      <c r="J4" s="29"/>
    </row>
    <row r="5" spans="1:12" s="55" customFormat="1" ht="9.9499999999999993" customHeight="1">
      <c r="B5" s="124"/>
      <c r="C5" s="124"/>
      <c r="D5" s="265"/>
      <c r="E5" s="266"/>
      <c r="F5" s="265"/>
      <c r="G5" s="265"/>
      <c r="H5" s="267"/>
      <c r="I5" s="265"/>
      <c r="J5" s="123"/>
    </row>
    <row r="6" spans="1:12" s="55" customFormat="1" ht="15" customHeight="1">
      <c r="B6" s="70" t="s">
        <v>234</v>
      </c>
      <c r="C6" s="71" t="s">
        <v>241</v>
      </c>
      <c r="D6" s="265"/>
      <c r="E6" s="266"/>
      <c r="F6" s="71"/>
      <c r="G6" s="71"/>
      <c r="H6" s="71"/>
      <c r="I6" s="71"/>
      <c r="J6" s="88"/>
      <c r="K6" s="71"/>
      <c r="L6" s="241"/>
    </row>
    <row r="7" spans="1:12" s="55" customFormat="1" ht="18" customHeight="1">
      <c r="B7" s="89" t="s">
        <v>236</v>
      </c>
      <c r="C7" s="95" t="s">
        <v>242</v>
      </c>
      <c r="D7" s="265"/>
      <c r="E7" s="266"/>
      <c r="F7" s="95"/>
      <c r="G7" s="95"/>
      <c r="H7" s="95"/>
      <c r="I7" s="95"/>
      <c r="J7" s="339"/>
      <c r="K7" s="95"/>
      <c r="L7" s="243"/>
    </row>
    <row r="8" spans="1:12" s="55" customFormat="1" ht="8.1" customHeight="1" thickBot="1">
      <c r="B8" s="282"/>
      <c r="C8" s="282"/>
      <c r="D8" s="311"/>
      <c r="E8" s="310"/>
      <c r="F8" s="311"/>
      <c r="G8" s="311"/>
      <c r="H8" s="312"/>
      <c r="I8" s="311"/>
      <c r="J8" s="172"/>
      <c r="K8" s="125"/>
    </row>
    <row r="9" spans="1:12" s="55" customFormat="1" ht="8.1" customHeight="1" thickTop="1">
      <c r="A9" s="268"/>
      <c r="B9" s="270"/>
      <c r="C9" s="270"/>
      <c r="D9" s="273"/>
      <c r="E9" s="313"/>
      <c r="F9" s="273"/>
      <c r="G9" s="273"/>
      <c r="H9" s="314"/>
      <c r="I9" s="273"/>
      <c r="J9" s="272"/>
      <c r="K9" s="268"/>
      <c r="L9" s="268"/>
    </row>
    <row r="10" spans="1:12" s="55" customFormat="1" ht="30.75" customHeight="1">
      <c r="A10" s="249"/>
      <c r="B10" s="315" t="s">
        <v>238</v>
      </c>
      <c r="C10" s="315"/>
      <c r="D10" s="350" t="s">
        <v>100</v>
      </c>
      <c r="E10" s="259" t="s">
        <v>95</v>
      </c>
      <c r="F10" s="259" t="s">
        <v>239</v>
      </c>
      <c r="G10" s="255" t="s">
        <v>218</v>
      </c>
      <c r="H10" s="255"/>
      <c r="I10" s="255"/>
      <c r="J10" s="256" t="s">
        <v>219</v>
      </c>
      <c r="K10" s="259" t="s">
        <v>220</v>
      </c>
      <c r="L10" s="249"/>
    </row>
    <row r="11" spans="1:12" s="111" customFormat="1" ht="55.5" customHeight="1">
      <c r="A11" s="257"/>
      <c r="B11" s="317"/>
      <c r="C11" s="317"/>
      <c r="D11" s="340"/>
      <c r="E11" s="318"/>
      <c r="F11" s="318"/>
      <c r="G11" s="319" t="s">
        <v>221</v>
      </c>
      <c r="H11" s="319" t="s">
        <v>222</v>
      </c>
      <c r="I11" s="319" t="s">
        <v>240</v>
      </c>
      <c r="J11" s="260"/>
      <c r="K11" s="318"/>
      <c r="L11" s="257"/>
    </row>
    <row r="12" spans="1:12" s="6" customFormat="1" ht="8.1" customHeight="1">
      <c r="A12" s="24"/>
      <c r="B12" s="377"/>
      <c r="C12" s="377"/>
      <c r="D12" s="390"/>
      <c r="E12" s="379"/>
      <c r="F12" s="380"/>
      <c r="G12" s="379"/>
      <c r="H12" s="379"/>
      <c r="I12" s="379"/>
      <c r="J12" s="380"/>
      <c r="K12" s="379"/>
    </row>
    <row r="13" spans="1:12" s="111" customFormat="1" ht="15" customHeight="1">
      <c r="A13" s="55"/>
      <c r="B13" s="393" t="s">
        <v>129</v>
      </c>
      <c r="C13" s="68"/>
      <c r="D13" s="68"/>
      <c r="E13" s="237"/>
      <c r="F13" s="233"/>
      <c r="G13" s="233"/>
      <c r="H13" s="233"/>
      <c r="I13" s="233"/>
      <c r="J13" s="233"/>
      <c r="K13" s="233"/>
    </row>
    <row r="14" spans="1:12" s="55" customFormat="1" ht="8.1" customHeight="1">
      <c r="A14" s="111"/>
      <c r="B14" s="370"/>
      <c r="C14" s="62"/>
      <c r="D14" s="68"/>
      <c r="E14" s="237"/>
      <c r="F14" s="237"/>
      <c r="G14" s="237"/>
      <c r="H14" s="237"/>
      <c r="I14" s="237"/>
      <c r="J14" s="237"/>
      <c r="K14" s="237"/>
    </row>
    <row r="15" spans="1:12" s="111" customFormat="1" ht="15" customHeight="1">
      <c r="A15" s="55"/>
      <c r="B15" s="370" t="s">
        <v>138</v>
      </c>
      <c r="C15" s="62"/>
      <c r="D15" s="170">
        <v>2015</v>
      </c>
      <c r="E15" s="237">
        <f>SUM(F15:K15)</f>
        <v>275</v>
      </c>
      <c r="F15" s="237">
        <v>53</v>
      </c>
      <c r="G15" s="237">
        <v>3</v>
      </c>
      <c r="H15" s="237">
        <v>30</v>
      </c>
      <c r="I15" s="237">
        <v>155</v>
      </c>
      <c r="J15" s="237">
        <v>4</v>
      </c>
      <c r="K15" s="237">
        <v>30</v>
      </c>
    </row>
    <row r="16" spans="1:12" s="111" customFormat="1" ht="15" customHeight="1">
      <c r="A16" s="55"/>
      <c r="B16" s="370"/>
      <c r="C16" s="62"/>
      <c r="D16" s="170">
        <v>2016</v>
      </c>
      <c r="E16" s="237">
        <f>SUM(F16:K16)</f>
        <v>258</v>
      </c>
      <c r="F16" s="237">
        <v>92</v>
      </c>
      <c r="G16" s="237">
        <v>5</v>
      </c>
      <c r="H16" s="237">
        <v>39</v>
      </c>
      <c r="I16" s="237">
        <v>89</v>
      </c>
      <c r="J16" s="237">
        <v>2</v>
      </c>
      <c r="K16" s="237">
        <v>31</v>
      </c>
    </row>
    <row r="17" spans="1:11" s="111" customFormat="1" ht="15" customHeight="1">
      <c r="B17" s="370"/>
      <c r="C17" s="62"/>
      <c r="D17" s="170">
        <v>2017</v>
      </c>
      <c r="E17" s="237">
        <f>SUM(F17:K17)</f>
        <v>285</v>
      </c>
      <c r="F17" s="237">
        <f>59+26</f>
        <v>85</v>
      </c>
      <c r="G17" s="237">
        <v>1</v>
      </c>
      <c r="H17" s="237">
        <v>23</v>
      </c>
      <c r="I17" s="237">
        <v>134</v>
      </c>
      <c r="J17" s="371" t="s">
        <v>51</v>
      </c>
      <c r="K17" s="237">
        <f>7+3+14+1+16+1</f>
        <v>42</v>
      </c>
    </row>
    <row r="18" spans="1:11" s="111" customFormat="1" ht="15" customHeight="1">
      <c r="B18" s="370"/>
      <c r="C18" s="62"/>
      <c r="D18" s="170"/>
      <c r="E18" s="237"/>
      <c r="F18" s="237"/>
      <c r="G18" s="237"/>
      <c r="H18" s="237"/>
      <c r="I18" s="237"/>
      <c r="J18" s="237"/>
      <c r="K18" s="237"/>
    </row>
    <row r="19" spans="1:11" s="111" customFormat="1" ht="15" customHeight="1">
      <c r="A19" s="55"/>
      <c r="B19" s="370" t="s">
        <v>139</v>
      </c>
      <c r="C19" s="62"/>
      <c r="D19" s="170">
        <v>2015</v>
      </c>
      <c r="E19" s="237">
        <f>SUM(F19:K19)</f>
        <v>1608</v>
      </c>
      <c r="F19" s="237">
        <v>280</v>
      </c>
      <c r="G19" s="237">
        <v>25</v>
      </c>
      <c r="H19" s="237">
        <v>215</v>
      </c>
      <c r="I19" s="237">
        <v>770</v>
      </c>
      <c r="J19" s="237">
        <v>34</v>
      </c>
      <c r="K19" s="237">
        <v>284</v>
      </c>
    </row>
    <row r="20" spans="1:11" s="111" customFormat="1" ht="15" customHeight="1">
      <c r="A20" s="55"/>
      <c r="B20" s="370"/>
      <c r="C20" s="62"/>
      <c r="D20" s="170">
        <v>2016</v>
      </c>
      <c r="E20" s="237">
        <f>SUM(F20:K20)</f>
        <v>1392</v>
      </c>
      <c r="F20" s="237">
        <v>306</v>
      </c>
      <c r="G20" s="237">
        <v>18</v>
      </c>
      <c r="H20" s="237">
        <v>210</v>
      </c>
      <c r="I20" s="237">
        <v>521</v>
      </c>
      <c r="J20" s="237">
        <v>32</v>
      </c>
      <c r="K20" s="237">
        <v>305</v>
      </c>
    </row>
    <row r="21" spans="1:11" s="111" customFormat="1" ht="15" customHeight="1">
      <c r="B21" s="370"/>
      <c r="C21" s="62"/>
      <c r="D21" s="170">
        <v>2017</v>
      </c>
      <c r="E21" s="237">
        <f>SUM(F21:K21)</f>
        <v>1374</v>
      </c>
      <c r="F21" s="237">
        <f>247+46</f>
        <v>293</v>
      </c>
      <c r="G21" s="237">
        <v>11</v>
      </c>
      <c r="H21" s="237">
        <v>184</v>
      </c>
      <c r="I21" s="237">
        <v>641</v>
      </c>
      <c r="J21" s="371" t="s">
        <v>51</v>
      </c>
      <c r="K21" s="237">
        <f>4+15+24+130+3+69</f>
        <v>245</v>
      </c>
    </row>
    <row r="22" spans="1:11" s="111" customFormat="1" ht="15" customHeight="1">
      <c r="B22" s="370"/>
      <c r="C22" s="62"/>
      <c r="D22" s="170"/>
      <c r="E22" s="237"/>
      <c r="F22" s="237"/>
      <c r="G22" s="237"/>
      <c r="H22" s="237"/>
      <c r="I22" s="237"/>
      <c r="J22" s="237"/>
      <c r="K22" s="237"/>
    </row>
    <row r="23" spans="1:11" s="111" customFormat="1" ht="15" customHeight="1">
      <c r="A23" s="55"/>
      <c r="B23" s="370" t="s">
        <v>140</v>
      </c>
      <c r="C23" s="62"/>
      <c r="D23" s="170">
        <v>2015</v>
      </c>
      <c r="E23" s="237">
        <f>SUM(F23:K23)</f>
        <v>42</v>
      </c>
      <c r="F23" s="237">
        <v>11</v>
      </c>
      <c r="G23" s="371" t="s">
        <v>51</v>
      </c>
      <c r="H23" s="237">
        <v>3</v>
      </c>
      <c r="I23" s="237">
        <v>21</v>
      </c>
      <c r="J23" s="371" t="s">
        <v>51</v>
      </c>
      <c r="K23" s="237">
        <v>7</v>
      </c>
    </row>
    <row r="24" spans="1:11" s="111" customFormat="1" ht="15" customHeight="1">
      <c r="A24" s="55"/>
      <c r="B24" s="370"/>
      <c r="C24" s="62"/>
      <c r="D24" s="170">
        <v>2016</v>
      </c>
      <c r="E24" s="237">
        <f>SUM(F24:K24)</f>
        <v>46</v>
      </c>
      <c r="F24" s="237">
        <v>14</v>
      </c>
      <c r="G24" s="371" t="s">
        <v>51</v>
      </c>
      <c r="H24" s="237">
        <v>1</v>
      </c>
      <c r="I24" s="237">
        <v>14</v>
      </c>
      <c r="J24" s="371" t="s">
        <v>51</v>
      </c>
      <c r="K24" s="237">
        <v>17</v>
      </c>
    </row>
    <row r="25" spans="1:11" s="111" customFormat="1" ht="15" customHeight="1">
      <c r="B25" s="370"/>
      <c r="C25" s="62"/>
      <c r="D25" s="170">
        <v>2017</v>
      </c>
      <c r="E25" s="237">
        <f>SUM(F25:K25)</f>
        <v>37</v>
      </c>
      <c r="F25" s="237">
        <v>18</v>
      </c>
      <c r="G25" s="237">
        <v>1</v>
      </c>
      <c r="H25" s="237">
        <v>2</v>
      </c>
      <c r="I25" s="237">
        <v>7</v>
      </c>
      <c r="J25" s="371" t="s">
        <v>51</v>
      </c>
      <c r="K25" s="237">
        <f>1+4+4</f>
        <v>9</v>
      </c>
    </row>
    <row r="26" spans="1:11" s="111" customFormat="1" ht="15" customHeight="1">
      <c r="B26" s="370"/>
      <c r="C26" s="62"/>
      <c r="D26" s="170"/>
      <c r="E26" s="237"/>
      <c r="F26" s="237"/>
      <c r="G26" s="237"/>
      <c r="H26" s="237"/>
      <c r="I26" s="237"/>
      <c r="J26" s="237"/>
      <c r="K26" s="237"/>
    </row>
    <row r="27" spans="1:11" s="111" customFormat="1" ht="15" customHeight="1">
      <c r="A27" s="55"/>
      <c r="B27" s="370" t="s">
        <v>141</v>
      </c>
      <c r="C27" s="62"/>
      <c r="D27" s="170">
        <v>2015</v>
      </c>
      <c r="E27" s="237">
        <f>SUM(F27:K27)</f>
        <v>62</v>
      </c>
      <c r="F27" s="237">
        <v>28</v>
      </c>
      <c r="G27" s="371" t="s">
        <v>51</v>
      </c>
      <c r="H27" s="237">
        <v>1</v>
      </c>
      <c r="I27" s="237">
        <v>7</v>
      </c>
      <c r="J27" s="371" t="s">
        <v>51</v>
      </c>
      <c r="K27" s="237">
        <v>26</v>
      </c>
    </row>
    <row r="28" spans="1:11" s="111" customFormat="1" ht="15" customHeight="1">
      <c r="A28" s="55"/>
      <c r="B28" s="370"/>
      <c r="C28" s="62"/>
      <c r="D28" s="170">
        <v>2016</v>
      </c>
      <c r="E28" s="237">
        <f>SUM(F28:K28)</f>
        <v>54</v>
      </c>
      <c r="F28" s="237">
        <v>20</v>
      </c>
      <c r="G28" s="371" t="s">
        <v>51</v>
      </c>
      <c r="H28" s="371" t="s">
        <v>51</v>
      </c>
      <c r="I28" s="237">
        <v>16</v>
      </c>
      <c r="J28" s="371" t="s">
        <v>51</v>
      </c>
      <c r="K28" s="237">
        <v>18</v>
      </c>
    </row>
    <row r="29" spans="1:11" s="111" customFormat="1" ht="15" customHeight="1">
      <c r="B29" s="370"/>
      <c r="C29" s="62"/>
      <c r="D29" s="170">
        <v>2017</v>
      </c>
      <c r="E29" s="237">
        <f>SUM(F29:K29)</f>
        <v>58</v>
      </c>
      <c r="F29" s="237">
        <f>24+6</f>
        <v>30</v>
      </c>
      <c r="G29" s="371" t="s">
        <v>51</v>
      </c>
      <c r="H29" s="237">
        <v>1</v>
      </c>
      <c r="I29" s="237">
        <v>10</v>
      </c>
      <c r="J29" s="371" t="s">
        <v>51</v>
      </c>
      <c r="K29" s="237">
        <f>1+1+5+1+9</f>
        <v>17</v>
      </c>
    </row>
    <row r="30" spans="1:11" s="111" customFormat="1" ht="15" customHeight="1">
      <c r="B30" s="370"/>
      <c r="C30" s="62"/>
      <c r="D30" s="170"/>
      <c r="E30" s="237"/>
      <c r="F30" s="237"/>
      <c r="G30" s="237"/>
      <c r="H30" s="237"/>
      <c r="I30" s="237"/>
      <c r="J30" s="237"/>
      <c r="K30" s="237"/>
    </row>
    <row r="31" spans="1:11" s="111" customFormat="1" ht="15" customHeight="1">
      <c r="A31" s="55"/>
      <c r="B31" s="370" t="s">
        <v>142</v>
      </c>
      <c r="C31" s="62"/>
      <c r="D31" s="170">
        <v>2015</v>
      </c>
      <c r="E31" s="237">
        <f>SUM(F31:K31)</f>
        <v>26</v>
      </c>
      <c r="F31" s="237">
        <v>4</v>
      </c>
      <c r="G31" s="237">
        <v>2</v>
      </c>
      <c r="H31" s="371" t="s">
        <v>51</v>
      </c>
      <c r="I31" s="237">
        <v>14</v>
      </c>
      <c r="J31" s="371" t="s">
        <v>51</v>
      </c>
      <c r="K31" s="237">
        <v>6</v>
      </c>
    </row>
    <row r="32" spans="1:11" s="111" customFormat="1" ht="15" customHeight="1">
      <c r="A32" s="55"/>
      <c r="B32" s="370"/>
      <c r="C32" s="62"/>
      <c r="D32" s="170">
        <v>2016</v>
      </c>
      <c r="E32" s="237">
        <f>SUM(F32:K32)</f>
        <v>9</v>
      </c>
      <c r="F32" s="237">
        <v>2</v>
      </c>
      <c r="G32" s="371" t="s">
        <v>51</v>
      </c>
      <c r="H32" s="371" t="s">
        <v>51</v>
      </c>
      <c r="I32" s="237">
        <v>2</v>
      </c>
      <c r="J32" s="371" t="s">
        <v>51</v>
      </c>
      <c r="K32" s="237">
        <v>5</v>
      </c>
    </row>
    <row r="33" spans="1:11" s="111" customFormat="1" ht="15" customHeight="1">
      <c r="B33" s="370"/>
      <c r="C33" s="62"/>
      <c r="D33" s="170">
        <v>2017</v>
      </c>
      <c r="E33" s="237">
        <f>SUM(F33:K33)</f>
        <v>30</v>
      </c>
      <c r="F33" s="237">
        <f>6+5</f>
        <v>11</v>
      </c>
      <c r="G33" s="371" t="s">
        <v>51</v>
      </c>
      <c r="H33" s="371" t="s">
        <v>51</v>
      </c>
      <c r="I33" s="237">
        <v>7</v>
      </c>
      <c r="J33" s="371" t="s">
        <v>51</v>
      </c>
      <c r="K33" s="237">
        <f>1+1+10</f>
        <v>12</v>
      </c>
    </row>
    <row r="34" spans="1:11" s="111" customFormat="1" ht="15" customHeight="1">
      <c r="B34" s="370"/>
      <c r="C34" s="62"/>
      <c r="D34" s="170"/>
      <c r="E34" s="237"/>
      <c r="F34" s="237"/>
      <c r="G34" s="237"/>
      <c r="H34" s="237"/>
      <c r="I34" s="237"/>
      <c r="J34" s="237"/>
      <c r="K34" s="237"/>
    </row>
    <row r="35" spans="1:11" s="111" customFormat="1" ht="15" customHeight="1">
      <c r="A35" s="55"/>
      <c r="B35" s="370" t="s">
        <v>143</v>
      </c>
      <c r="C35" s="62"/>
      <c r="D35" s="170">
        <v>2015</v>
      </c>
      <c r="E35" s="237">
        <f>SUM(F35:K35)</f>
        <v>44</v>
      </c>
      <c r="F35" s="237">
        <v>11</v>
      </c>
      <c r="G35" s="237">
        <v>2</v>
      </c>
      <c r="H35" s="371" t="s">
        <v>51</v>
      </c>
      <c r="I35" s="237">
        <v>5</v>
      </c>
      <c r="J35" s="237">
        <v>1</v>
      </c>
      <c r="K35" s="237">
        <v>25</v>
      </c>
    </row>
    <row r="36" spans="1:11" s="111" customFormat="1" ht="15" customHeight="1">
      <c r="A36" s="55"/>
      <c r="B36" s="370"/>
      <c r="C36" s="62"/>
      <c r="D36" s="170">
        <v>2016</v>
      </c>
      <c r="E36" s="237">
        <f>SUM(F36:K36)</f>
        <v>78</v>
      </c>
      <c r="F36" s="237">
        <v>24</v>
      </c>
      <c r="G36" s="237">
        <v>2</v>
      </c>
      <c r="H36" s="237">
        <v>1</v>
      </c>
      <c r="I36" s="237">
        <v>25</v>
      </c>
      <c r="J36" s="371" t="s">
        <v>51</v>
      </c>
      <c r="K36" s="237">
        <v>26</v>
      </c>
    </row>
    <row r="37" spans="1:11" s="111" customFormat="1" ht="15" customHeight="1">
      <c r="B37" s="370"/>
      <c r="C37" s="62"/>
      <c r="D37" s="170">
        <v>2017</v>
      </c>
      <c r="E37" s="237">
        <f>SUM(F37:K37)</f>
        <v>57</v>
      </c>
      <c r="F37" s="237">
        <f>13+3</f>
        <v>16</v>
      </c>
      <c r="G37" s="371" t="s">
        <v>51</v>
      </c>
      <c r="H37" s="237">
        <v>3</v>
      </c>
      <c r="I37" s="237">
        <v>15</v>
      </c>
      <c r="J37" s="371" t="s">
        <v>51</v>
      </c>
      <c r="K37" s="237">
        <f>1+6+16</f>
        <v>23</v>
      </c>
    </row>
    <row r="38" spans="1:11" s="111" customFormat="1" ht="15" customHeight="1">
      <c r="B38" s="370"/>
      <c r="C38" s="62"/>
      <c r="D38" s="170"/>
      <c r="E38" s="237"/>
      <c r="F38" s="237"/>
      <c r="G38" s="237"/>
      <c r="H38" s="237"/>
      <c r="I38" s="237"/>
      <c r="J38" s="237"/>
      <c r="K38" s="237"/>
    </row>
    <row r="39" spans="1:11" s="111" customFormat="1" ht="15" customHeight="1">
      <c r="A39" s="55"/>
      <c r="B39" s="370" t="s">
        <v>144</v>
      </c>
      <c r="C39" s="62"/>
      <c r="D39" s="170">
        <v>2015</v>
      </c>
      <c r="E39" s="237">
        <f>SUM(F39:K39)</f>
        <v>81</v>
      </c>
      <c r="F39" s="237">
        <v>26</v>
      </c>
      <c r="G39" s="237">
        <v>1</v>
      </c>
      <c r="H39" s="237">
        <v>4</v>
      </c>
      <c r="I39" s="237">
        <v>11</v>
      </c>
      <c r="J39" s="371" t="s">
        <v>51</v>
      </c>
      <c r="K39" s="237">
        <v>39</v>
      </c>
    </row>
    <row r="40" spans="1:11" s="111" customFormat="1" ht="15" customHeight="1">
      <c r="A40" s="124"/>
      <c r="B40" s="370"/>
      <c r="C40" s="62"/>
      <c r="D40" s="170">
        <v>2016</v>
      </c>
      <c r="E40" s="237">
        <f>SUM(F40:K40)</f>
        <v>50</v>
      </c>
      <c r="F40" s="237">
        <v>7</v>
      </c>
      <c r="G40" s="371" t="s">
        <v>51</v>
      </c>
      <c r="H40" s="237">
        <v>1</v>
      </c>
      <c r="I40" s="237">
        <v>9</v>
      </c>
      <c r="J40" s="371" t="s">
        <v>51</v>
      </c>
      <c r="K40" s="237">
        <v>33</v>
      </c>
    </row>
    <row r="41" spans="1:11" s="111" customFormat="1" ht="15" customHeight="1">
      <c r="B41" s="370"/>
      <c r="C41" s="62"/>
      <c r="D41" s="170">
        <v>2017</v>
      </c>
      <c r="E41" s="237">
        <f>SUM(F41:K41)</f>
        <v>39</v>
      </c>
      <c r="F41" s="237">
        <f>4+2</f>
        <v>6</v>
      </c>
      <c r="G41" s="371" t="s">
        <v>51</v>
      </c>
      <c r="H41" s="237">
        <v>3</v>
      </c>
      <c r="I41" s="237">
        <v>7</v>
      </c>
      <c r="J41" s="371" t="s">
        <v>51</v>
      </c>
      <c r="K41" s="237">
        <f>5+18</f>
        <v>23</v>
      </c>
    </row>
    <row r="42" spans="1:11" s="111" customFormat="1" ht="15" customHeight="1">
      <c r="B42" s="370"/>
      <c r="C42" s="62"/>
      <c r="D42" s="170"/>
      <c r="E42" s="237"/>
      <c r="F42" s="237"/>
      <c r="G42" s="237"/>
      <c r="H42" s="237"/>
      <c r="I42" s="237"/>
      <c r="J42" s="237"/>
      <c r="K42" s="237"/>
    </row>
    <row r="43" spans="1:11" s="111" customFormat="1" ht="15" customHeight="1">
      <c r="A43" s="55"/>
      <c r="B43" s="370" t="s">
        <v>145</v>
      </c>
      <c r="C43" s="62"/>
      <c r="D43" s="170">
        <v>2015</v>
      </c>
      <c r="E43" s="237">
        <f>SUM(F43:K43)</f>
        <v>18</v>
      </c>
      <c r="F43" s="237">
        <v>4</v>
      </c>
      <c r="G43" s="371" t="s">
        <v>51</v>
      </c>
      <c r="H43" s="371" t="s">
        <v>51</v>
      </c>
      <c r="I43" s="237">
        <v>5</v>
      </c>
      <c r="J43" s="371" t="s">
        <v>51</v>
      </c>
      <c r="K43" s="237">
        <v>9</v>
      </c>
    </row>
    <row r="44" spans="1:11" s="111" customFormat="1" ht="15" customHeight="1">
      <c r="A44" s="55"/>
      <c r="B44" s="370"/>
      <c r="C44" s="62"/>
      <c r="D44" s="170">
        <v>2016</v>
      </c>
      <c r="E44" s="237">
        <f>SUM(F44:K44)</f>
        <v>19</v>
      </c>
      <c r="F44" s="237">
        <v>13</v>
      </c>
      <c r="G44" s="237">
        <v>1</v>
      </c>
      <c r="H44" s="371" t="s">
        <v>51</v>
      </c>
      <c r="I44" s="237">
        <v>2</v>
      </c>
      <c r="J44" s="371" t="s">
        <v>51</v>
      </c>
      <c r="K44" s="237">
        <v>3</v>
      </c>
    </row>
    <row r="45" spans="1:11" s="111" customFormat="1" ht="15" customHeight="1">
      <c r="B45" s="370"/>
      <c r="C45" s="62"/>
      <c r="D45" s="170">
        <v>2017</v>
      </c>
      <c r="E45" s="237">
        <f>SUM(F45:K45)</f>
        <v>22</v>
      </c>
      <c r="F45" s="237">
        <v>5</v>
      </c>
      <c r="G45" s="371" t="s">
        <v>51</v>
      </c>
      <c r="H45" s="237">
        <v>1</v>
      </c>
      <c r="I45" s="237">
        <v>4</v>
      </c>
      <c r="J45" s="371" t="s">
        <v>51</v>
      </c>
      <c r="K45" s="237">
        <f>3+3+3+3</f>
        <v>12</v>
      </c>
    </row>
    <row r="46" spans="1:11" s="111" customFormat="1" ht="15" customHeight="1">
      <c r="B46" s="370"/>
      <c r="C46" s="62"/>
      <c r="D46" s="170"/>
      <c r="E46" s="237"/>
      <c r="F46" s="237"/>
      <c r="G46" s="237"/>
      <c r="H46" s="237"/>
      <c r="I46" s="237"/>
      <c r="J46" s="237"/>
      <c r="K46" s="237"/>
    </row>
    <row r="47" spans="1:11" s="111" customFormat="1" ht="15" customHeight="1">
      <c r="A47" s="55"/>
      <c r="B47" s="370" t="s">
        <v>146</v>
      </c>
      <c r="C47" s="62"/>
      <c r="D47" s="170">
        <v>2015</v>
      </c>
      <c r="E47" s="237">
        <f>SUM(F47:K47)</f>
        <v>32</v>
      </c>
      <c r="F47" s="237">
        <v>7</v>
      </c>
      <c r="G47" s="371" t="s">
        <v>51</v>
      </c>
      <c r="H47" s="237">
        <v>7</v>
      </c>
      <c r="I47" s="237">
        <v>9</v>
      </c>
      <c r="J47" s="371" t="s">
        <v>51</v>
      </c>
      <c r="K47" s="237">
        <v>9</v>
      </c>
    </row>
    <row r="48" spans="1:11" s="111" customFormat="1" ht="15" customHeight="1">
      <c r="A48" s="55"/>
      <c r="B48" s="370"/>
      <c r="C48" s="62"/>
      <c r="D48" s="170">
        <v>2016</v>
      </c>
      <c r="E48" s="237">
        <f>SUM(F48:K48)</f>
        <v>28</v>
      </c>
      <c r="F48" s="237">
        <v>6</v>
      </c>
      <c r="G48" s="237">
        <v>1</v>
      </c>
      <c r="H48" s="237">
        <v>7</v>
      </c>
      <c r="I48" s="237">
        <v>7</v>
      </c>
      <c r="J48" s="371" t="s">
        <v>51</v>
      </c>
      <c r="K48" s="237">
        <v>7</v>
      </c>
    </row>
    <row r="49" spans="1:12" s="125" customFormat="1" ht="15" customHeight="1">
      <c r="A49" s="111"/>
      <c r="B49" s="370"/>
      <c r="C49" s="62"/>
      <c r="D49" s="170">
        <v>2017</v>
      </c>
      <c r="E49" s="237">
        <f>SUM(F49:K49)</f>
        <v>30</v>
      </c>
      <c r="F49" s="237">
        <f>1+5</f>
        <v>6</v>
      </c>
      <c r="G49" s="371" t="s">
        <v>51</v>
      </c>
      <c r="H49" s="237">
        <v>4</v>
      </c>
      <c r="I49" s="237">
        <v>12</v>
      </c>
      <c r="J49" s="371" t="s">
        <v>51</v>
      </c>
      <c r="K49" s="237">
        <f>5+3</f>
        <v>8</v>
      </c>
    </row>
    <row r="50" spans="1:12" s="125" customFormat="1" ht="15" customHeight="1">
      <c r="A50" s="111"/>
      <c r="B50" s="370"/>
      <c r="C50" s="62"/>
      <c r="D50" s="170"/>
      <c r="E50" s="237"/>
      <c r="F50" s="237"/>
      <c r="G50" s="237"/>
      <c r="H50" s="237"/>
      <c r="I50" s="237"/>
      <c r="J50" s="237"/>
      <c r="K50" s="237"/>
    </row>
    <row r="51" spans="1:12" s="92" customFormat="1" ht="15" customHeight="1">
      <c r="A51" s="55"/>
      <c r="B51" s="370" t="s">
        <v>147</v>
      </c>
      <c r="C51" s="62"/>
      <c r="D51" s="170">
        <v>2015</v>
      </c>
      <c r="E51" s="237">
        <f>SUM(F51:K51)</f>
        <v>895</v>
      </c>
      <c r="F51" s="237">
        <v>235</v>
      </c>
      <c r="G51" s="237">
        <v>43</v>
      </c>
      <c r="H51" s="237">
        <v>128</v>
      </c>
      <c r="I51" s="237">
        <v>295</v>
      </c>
      <c r="J51" s="237">
        <v>16</v>
      </c>
      <c r="K51" s="237">
        <v>178</v>
      </c>
    </row>
    <row r="52" spans="1:12" s="55" customFormat="1" ht="15" customHeight="1">
      <c r="B52" s="370"/>
      <c r="C52" s="62"/>
      <c r="D52" s="170">
        <v>2016</v>
      </c>
      <c r="E52" s="237">
        <f>SUM(F52:K52)</f>
        <v>972</v>
      </c>
      <c r="F52" s="237">
        <v>372</v>
      </c>
      <c r="G52" s="237">
        <v>28</v>
      </c>
      <c r="H52" s="237">
        <v>135</v>
      </c>
      <c r="I52" s="237">
        <v>244</v>
      </c>
      <c r="J52" s="237">
        <v>4</v>
      </c>
      <c r="K52" s="237">
        <v>189</v>
      </c>
    </row>
    <row r="53" spans="1:12" s="55" customFormat="1" ht="15" customHeight="1">
      <c r="A53" s="111"/>
      <c r="B53" s="370"/>
      <c r="C53" s="62"/>
      <c r="D53" s="170">
        <v>2017</v>
      </c>
      <c r="E53" s="237">
        <f>SUM(F53:K53)</f>
        <v>815</v>
      </c>
      <c r="F53" s="237">
        <f>137+57</f>
        <v>194</v>
      </c>
      <c r="G53" s="237">
        <f>2+16</f>
        <v>18</v>
      </c>
      <c r="H53" s="237">
        <v>77</v>
      </c>
      <c r="I53" s="237">
        <v>289</v>
      </c>
      <c r="J53" s="371" t="s">
        <v>51</v>
      </c>
      <c r="K53" s="237">
        <f>1+5+13+71+10+136+1</f>
        <v>237</v>
      </c>
    </row>
    <row r="54" spans="1:12" ht="8.1" customHeight="1" thickBot="1">
      <c r="A54" s="109"/>
      <c r="B54" s="391"/>
      <c r="C54" s="16"/>
      <c r="D54" s="140"/>
      <c r="E54" s="239"/>
      <c r="F54" s="239"/>
      <c r="G54" s="239"/>
      <c r="H54" s="239"/>
      <c r="I54" s="239"/>
      <c r="J54" s="239"/>
      <c r="K54" s="239"/>
      <c r="L54" s="34"/>
    </row>
    <row r="55" spans="1:12">
      <c r="B55" s="244"/>
      <c r="C55" s="244"/>
      <c r="D55" s="244"/>
      <c r="E55" s="245"/>
      <c r="F55" s="246"/>
      <c r="G55" s="348"/>
      <c r="H55" s="247"/>
      <c r="I55" s="7"/>
      <c r="J55" s="7"/>
      <c r="K55" s="8" t="s">
        <v>104</v>
      </c>
    </row>
    <row r="56" spans="1:12">
      <c r="B56" s="346"/>
      <c r="C56" s="346"/>
      <c r="D56" s="346"/>
      <c r="E56" s="349"/>
      <c r="F56" s="347"/>
      <c r="G56" s="347"/>
      <c r="H56" s="246"/>
      <c r="I56" s="346"/>
      <c r="J56" s="346"/>
      <c r="K56" s="41" t="s">
        <v>1</v>
      </c>
    </row>
  </sheetData>
  <mergeCells count="6">
    <mergeCell ref="B10:C11"/>
    <mergeCell ref="E10:E11"/>
    <mergeCell ref="F10:F11"/>
    <mergeCell ref="G10:I10"/>
    <mergeCell ref="J10:J11"/>
    <mergeCell ref="K10:K11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5" fitToWidth="0" orientation="portrait" r:id="rId1"/>
  <headerFooter>
    <oddHeader xml:space="preserve">&amp;R&amp;"-,Bold"
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L57"/>
  <sheetViews>
    <sheetView showGridLines="0" zoomScaleNormal="100" zoomScaleSheetLayoutView="100" workbookViewId="0">
      <selection activeCell="AF36" sqref="AF36"/>
    </sheetView>
  </sheetViews>
  <sheetFormatPr defaultRowHeight="15"/>
  <cols>
    <col min="1" max="1" width="0.85546875" style="2" customWidth="1"/>
    <col min="2" max="2" width="10" style="3" customWidth="1"/>
    <col min="3" max="3" width="12" style="3" customWidth="1"/>
    <col min="4" max="4" width="9.28515625" style="3" customWidth="1"/>
    <col min="5" max="5" width="9.85546875" style="4" customWidth="1"/>
    <col min="6" max="6" width="11.7109375" style="5" customWidth="1"/>
    <col min="7" max="7" width="10.5703125" style="5" customWidth="1"/>
    <col min="8" max="8" width="10.42578125" style="261" customWidth="1"/>
    <col min="9" max="9" width="12.28515625" style="5" customWidth="1"/>
    <col min="10" max="11" width="11.7109375" style="2" customWidth="1"/>
    <col min="12" max="12" width="1.5703125" style="2" customWidth="1"/>
    <col min="13" max="16384" width="9.140625" style="2"/>
  </cols>
  <sheetData>
    <row r="1" spans="1:12" s="30" customFormat="1" ht="12.95" customHeight="1">
      <c r="B1" s="27"/>
      <c r="C1" s="27"/>
      <c r="D1" s="29"/>
      <c r="E1" s="28"/>
      <c r="F1" s="29"/>
      <c r="J1" s="29"/>
      <c r="K1" s="199" t="s">
        <v>188</v>
      </c>
    </row>
    <row r="2" spans="1:12" s="30" customFormat="1" ht="12.95" customHeight="1">
      <c r="B2" s="27"/>
      <c r="C2" s="27"/>
      <c r="D2" s="29"/>
      <c r="E2" s="28"/>
      <c r="F2" s="29"/>
      <c r="J2" s="29"/>
      <c r="K2" s="75" t="s">
        <v>189</v>
      </c>
    </row>
    <row r="3" spans="1:12" s="30" customFormat="1" ht="12" customHeight="1">
      <c r="B3" s="27"/>
      <c r="C3" s="27"/>
      <c r="D3" s="29"/>
      <c r="E3" s="28"/>
      <c r="F3" s="29"/>
      <c r="G3" s="75"/>
      <c r="J3" s="29"/>
    </row>
    <row r="4" spans="1:12" s="30" customFormat="1" ht="12" customHeight="1">
      <c r="B4" s="27"/>
      <c r="C4" s="27"/>
      <c r="D4" s="29"/>
      <c r="E4" s="28"/>
      <c r="F4" s="29"/>
      <c r="G4" s="75"/>
      <c r="J4" s="29"/>
    </row>
    <row r="5" spans="1:12" s="55" customFormat="1" ht="9.9499999999999993" customHeight="1">
      <c r="B5" s="124"/>
      <c r="C5" s="124"/>
      <c r="D5" s="265"/>
      <c r="E5" s="266"/>
      <c r="F5" s="265"/>
      <c r="G5" s="265"/>
      <c r="H5" s="267"/>
      <c r="I5" s="265"/>
      <c r="J5" s="123"/>
    </row>
    <row r="6" spans="1:12" s="55" customFormat="1" ht="15" customHeight="1">
      <c r="B6" s="70" t="s">
        <v>234</v>
      </c>
      <c r="C6" s="71" t="s">
        <v>241</v>
      </c>
      <c r="D6" s="265"/>
      <c r="E6" s="266"/>
      <c r="F6" s="71"/>
      <c r="G6" s="71"/>
      <c r="H6" s="71"/>
      <c r="I6" s="71"/>
      <c r="J6" s="88"/>
      <c r="K6" s="71"/>
      <c r="L6" s="241"/>
    </row>
    <row r="7" spans="1:12" s="55" customFormat="1" ht="18" customHeight="1">
      <c r="B7" s="89" t="s">
        <v>236</v>
      </c>
      <c r="C7" s="95" t="s">
        <v>242</v>
      </c>
      <c r="D7" s="265"/>
      <c r="E7" s="266"/>
      <c r="F7" s="95"/>
      <c r="G7" s="95"/>
      <c r="H7" s="95"/>
      <c r="I7" s="95"/>
      <c r="J7" s="339"/>
      <c r="K7" s="95"/>
      <c r="L7" s="243"/>
    </row>
    <row r="8" spans="1:12" s="55" customFormat="1" ht="8.1" customHeight="1" thickBot="1">
      <c r="B8" s="282"/>
      <c r="C8" s="282"/>
      <c r="D8" s="311"/>
      <c r="E8" s="310"/>
      <c r="F8" s="311"/>
      <c r="G8" s="311"/>
      <c r="H8" s="312"/>
      <c r="I8" s="311"/>
      <c r="J8" s="172"/>
      <c r="K8" s="125"/>
    </row>
    <row r="9" spans="1:12" s="55" customFormat="1" ht="8.1" customHeight="1" thickTop="1">
      <c r="A9" s="268"/>
      <c r="B9" s="270"/>
      <c r="C9" s="270"/>
      <c r="D9" s="273"/>
      <c r="E9" s="313"/>
      <c r="F9" s="273"/>
      <c r="G9" s="273"/>
      <c r="H9" s="314"/>
      <c r="I9" s="273"/>
      <c r="J9" s="272"/>
      <c r="K9" s="268"/>
      <c r="L9" s="268"/>
    </row>
    <row r="10" spans="1:12" s="55" customFormat="1" ht="30.75" customHeight="1">
      <c r="A10" s="249"/>
      <c r="B10" s="315" t="s">
        <v>238</v>
      </c>
      <c r="C10" s="315"/>
      <c r="D10" s="350" t="s">
        <v>100</v>
      </c>
      <c r="E10" s="259" t="s">
        <v>95</v>
      </c>
      <c r="F10" s="259" t="s">
        <v>239</v>
      </c>
      <c r="G10" s="255" t="s">
        <v>218</v>
      </c>
      <c r="H10" s="255"/>
      <c r="I10" s="255"/>
      <c r="J10" s="256" t="s">
        <v>219</v>
      </c>
      <c r="K10" s="259" t="s">
        <v>220</v>
      </c>
      <c r="L10" s="249"/>
    </row>
    <row r="11" spans="1:12" s="111" customFormat="1" ht="55.5" customHeight="1">
      <c r="A11" s="257"/>
      <c r="B11" s="317"/>
      <c r="C11" s="317"/>
      <c r="D11" s="340"/>
      <c r="E11" s="318"/>
      <c r="F11" s="318"/>
      <c r="G11" s="319" t="s">
        <v>221</v>
      </c>
      <c r="H11" s="319" t="s">
        <v>222</v>
      </c>
      <c r="I11" s="319" t="s">
        <v>240</v>
      </c>
      <c r="J11" s="260"/>
      <c r="K11" s="318"/>
      <c r="L11" s="257"/>
    </row>
    <row r="12" spans="1:12" s="6" customFormat="1" ht="8.1" customHeight="1">
      <c r="A12" s="24"/>
      <c r="B12" s="377"/>
      <c r="C12" s="377"/>
      <c r="D12" s="390"/>
      <c r="E12" s="379"/>
      <c r="F12" s="380"/>
      <c r="G12" s="379"/>
      <c r="H12" s="379"/>
      <c r="I12" s="379"/>
      <c r="J12" s="380"/>
      <c r="K12" s="379"/>
    </row>
    <row r="13" spans="1:12" s="6" customFormat="1" ht="8.1" customHeight="1">
      <c r="A13" s="24"/>
      <c r="B13" s="377"/>
      <c r="C13" s="377"/>
      <c r="D13" s="378"/>
      <c r="E13" s="379"/>
      <c r="F13" s="380"/>
      <c r="G13" s="379"/>
      <c r="H13" s="379"/>
      <c r="I13" s="379"/>
      <c r="J13" s="380"/>
      <c r="K13" s="379"/>
    </row>
    <row r="14" spans="1:12" s="6" customFormat="1" ht="15" customHeight="1">
      <c r="A14" s="2"/>
      <c r="B14" s="393" t="s">
        <v>186</v>
      </c>
      <c r="C14" s="68"/>
      <c r="D14" s="68"/>
      <c r="E14" s="237"/>
      <c r="F14" s="233"/>
      <c r="G14" s="233"/>
      <c r="H14" s="233"/>
      <c r="I14" s="233"/>
      <c r="J14" s="233"/>
      <c r="K14" s="233"/>
    </row>
    <row r="15" spans="1:12" ht="8.1" customHeight="1">
      <c r="A15" s="6"/>
      <c r="B15" s="370"/>
      <c r="C15" s="62"/>
      <c r="D15" s="69"/>
      <c r="E15" s="237"/>
      <c r="F15" s="237"/>
      <c r="G15" s="237"/>
      <c r="H15" s="237"/>
      <c r="I15" s="237"/>
      <c r="J15" s="237"/>
      <c r="K15" s="237"/>
    </row>
    <row r="16" spans="1:12" ht="15" customHeight="1">
      <c r="B16" s="370" t="s">
        <v>148</v>
      </c>
      <c r="C16" s="62"/>
      <c r="D16" s="170">
        <v>2015</v>
      </c>
      <c r="E16" s="237">
        <f>SUM(F16:K16)</f>
        <v>64</v>
      </c>
      <c r="F16" s="237">
        <v>11</v>
      </c>
      <c r="G16" s="237">
        <v>7</v>
      </c>
      <c r="H16" s="237">
        <v>5</v>
      </c>
      <c r="I16" s="237">
        <v>28</v>
      </c>
      <c r="J16" s="371" t="s">
        <v>51</v>
      </c>
      <c r="K16" s="237">
        <v>13</v>
      </c>
    </row>
    <row r="17" spans="1:11" ht="15" customHeight="1">
      <c r="B17" s="370"/>
      <c r="C17" s="62"/>
      <c r="D17" s="170">
        <v>2016</v>
      </c>
      <c r="E17" s="237">
        <f>SUM(F17:K17)</f>
        <v>64</v>
      </c>
      <c r="F17" s="237">
        <v>17</v>
      </c>
      <c r="G17" s="237">
        <v>13</v>
      </c>
      <c r="H17" s="237">
        <v>6</v>
      </c>
      <c r="I17" s="237">
        <v>15</v>
      </c>
      <c r="J17" s="371" t="s">
        <v>51</v>
      </c>
      <c r="K17" s="237">
        <v>13</v>
      </c>
    </row>
    <row r="18" spans="1:11" ht="15" customHeight="1">
      <c r="A18" s="6"/>
      <c r="B18" s="370"/>
      <c r="C18" s="62"/>
      <c r="D18" s="170">
        <v>2017</v>
      </c>
      <c r="E18" s="237">
        <f>SUM(F18:K18)</f>
        <v>74</v>
      </c>
      <c r="F18" s="237">
        <f>12+4</f>
        <v>16</v>
      </c>
      <c r="G18" s="237">
        <v>4</v>
      </c>
      <c r="H18" s="237">
        <v>9</v>
      </c>
      <c r="I18" s="237">
        <v>30</v>
      </c>
      <c r="J18" s="371" t="s">
        <v>51</v>
      </c>
      <c r="K18" s="237">
        <f>2+5+8</f>
        <v>15</v>
      </c>
    </row>
    <row r="19" spans="1:11" ht="15" customHeight="1">
      <c r="A19" s="6"/>
      <c r="B19" s="370"/>
      <c r="C19" s="62"/>
      <c r="D19" s="170"/>
      <c r="E19" s="237"/>
      <c r="F19" s="237"/>
      <c r="G19" s="237"/>
      <c r="H19" s="237"/>
      <c r="I19" s="237"/>
      <c r="J19" s="237"/>
      <c r="K19" s="237"/>
    </row>
    <row r="20" spans="1:11" ht="15" customHeight="1">
      <c r="B20" s="370" t="s">
        <v>149</v>
      </c>
      <c r="C20" s="62"/>
      <c r="D20" s="170">
        <v>2015</v>
      </c>
      <c r="E20" s="237">
        <f>SUM(F20:K20)</f>
        <v>834</v>
      </c>
      <c r="F20" s="237">
        <v>135</v>
      </c>
      <c r="G20" s="237">
        <v>18</v>
      </c>
      <c r="H20" s="237">
        <v>131</v>
      </c>
      <c r="I20" s="237">
        <v>488</v>
      </c>
      <c r="J20" s="237">
        <v>4</v>
      </c>
      <c r="K20" s="237">
        <v>58</v>
      </c>
    </row>
    <row r="21" spans="1:11" ht="15" customHeight="1">
      <c r="B21" s="370"/>
      <c r="C21" s="62"/>
      <c r="D21" s="170">
        <v>2016</v>
      </c>
      <c r="E21" s="237">
        <f>SUM(F21:K21)</f>
        <v>801</v>
      </c>
      <c r="F21" s="237">
        <v>136</v>
      </c>
      <c r="G21" s="237">
        <v>27</v>
      </c>
      <c r="H21" s="237">
        <v>143</v>
      </c>
      <c r="I21" s="237">
        <v>380</v>
      </c>
      <c r="J21" s="237">
        <v>15</v>
      </c>
      <c r="K21" s="237">
        <v>100</v>
      </c>
    </row>
    <row r="22" spans="1:11" ht="15" customHeight="1">
      <c r="A22" s="6"/>
      <c r="B22" s="370"/>
      <c r="C22" s="62"/>
      <c r="D22" s="170">
        <v>2017</v>
      </c>
      <c r="E22" s="237">
        <f>SUM(F22:K22)</f>
        <v>830</v>
      </c>
      <c r="F22" s="237">
        <f>68+21</f>
        <v>89</v>
      </c>
      <c r="G22" s="237">
        <v>12</v>
      </c>
      <c r="H22" s="237">
        <v>114</v>
      </c>
      <c r="I22" s="237">
        <v>541</v>
      </c>
      <c r="J22" s="371" t="s">
        <v>51</v>
      </c>
      <c r="K22" s="237">
        <f>1+6+2+32+32+1</f>
        <v>74</v>
      </c>
    </row>
    <row r="23" spans="1:11" ht="15" customHeight="1">
      <c r="A23" s="6"/>
      <c r="B23" s="370"/>
      <c r="C23" s="62"/>
      <c r="D23" s="170"/>
      <c r="E23" s="237"/>
      <c r="F23" s="237"/>
      <c r="G23" s="237"/>
      <c r="H23" s="237"/>
      <c r="I23" s="237"/>
      <c r="J23" s="237"/>
      <c r="K23" s="237"/>
    </row>
    <row r="24" spans="1:11" ht="15" customHeight="1">
      <c r="B24" s="370" t="s">
        <v>150</v>
      </c>
      <c r="C24" s="62"/>
      <c r="D24" s="170">
        <v>2015</v>
      </c>
      <c r="E24" s="237">
        <f>SUM(F24:K24)</f>
        <v>17</v>
      </c>
      <c r="F24" s="237">
        <v>4</v>
      </c>
      <c r="G24" s="371" t="s">
        <v>51</v>
      </c>
      <c r="H24" s="371" t="s">
        <v>51</v>
      </c>
      <c r="I24" s="237">
        <v>5</v>
      </c>
      <c r="J24" s="371" t="s">
        <v>51</v>
      </c>
      <c r="K24" s="237">
        <v>8</v>
      </c>
    </row>
    <row r="25" spans="1:11" ht="15" customHeight="1">
      <c r="B25" s="370"/>
      <c r="C25" s="62"/>
      <c r="D25" s="170">
        <v>2016</v>
      </c>
      <c r="E25" s="237">
        <f>SUM(F25:K25)</f>
        <v>31</v>
      </c>
      <c r="F25" s="237">
        <v>10</v>
      </c>
      <c r="G25" s="371" t="s">
        <v>51</v>
      </c>
      <c r="H25" s="237">
        <v>1</v>
      </c>
      <c r="I25" s="237">
        <v>12</v>
      </c>
      <c r="J25" s="371" t="s">
        <v>51</v>
      </c>
      <c r="K25" s="237">
        <v>8</v>
      </c>
    </row>
    <row r="26" spans="1:11" s="3" customFormat="1" ht="15" customHeight="1">
      <c r="A26" s="6"/>
      <c r="B26" s="370"/>
      <c r="C26" s="62"/>
      <c r="D26" s="170">
        <v>2017</v>
      </c>
      <c r="E26" s="237">
        <f>SUM(F26:K26)</f>
        <v>26</v>
      </c>
      <c r="F26" s="237">
        <f>5+3</f>
        <v>8</v>
      </c>
      <c r="G26" s="237">
        <v>1</v>
      </c>
      <c r="H26" s="237">
        <v>1</v>
      </c>
      <c r="I26" s="237">
        <v>14</v>
      </c>
      <c r="J26" s="371" t="s">
        <v>51</v>
      </c>
      <c r="K26" s="237">
        <f>1+1</f>
        <v>2</v>
      </c>
    </row>
    <row r="27" spans="1:11" s="3" customFormat="1" ht="15" customHeight="1">
      <c r="A27" s="6"/>
      <c r="B27" s="370"/>
      <c r="C27" s="62"/>
      <c r="D27" s="170"/>
      <c r="E27" s="237"/>
      <c r="F27" s="237"/>
      <c r="G27" s="237"/>
      <c r="H27" s="237"/>
      <c r="I27" s="237"/>
      <c r="J27" s="237"/>
      <c r="K27" s="237"/>
    </row>
    <row r="28" spans="1:11" ht="15" customHeight="1">
      <c r="B28" s="370" t="s">
        <v>151</v>
      </c>
      <c r="C28" s="62"/>
      <c r="D28" s="170">
        <v>2015</v>
      </c>
      <c r="E28" s="237">
        <f>SUM(F28:K28)</f>
        <v>175</v>
      </c>
      <c r="F28" s="237">
        <v>45</v>
      </c>
      <c r="G28" s="237">
        <v>7</v>
      </c>
      <c r="H28" s="237">
        <v>21</v>
      </c>
      <c r="I28" s="237">
        <v>56</v>
      </c>
      <c r="J28" s="237">
        <v>6</v>
      </c>
      <c r="K28" s="237">
        <v>40</v>
      </c>
    </row>
    <row r="29" spans="1:11" ht="15" customHeight="1">
      <c r="B29" s="370"/>
      <c r="C29" s="62"/>
      <c r="D29" s="170">
        <v>2016</v>
      </c>
      <c r="E29" s="237">
        <f>SUM(F29:K29)</f>
        <v>180</v>
      </c>
      <c r="F29" s="237">
        <v>58</v>
      </c>
      <c r="G29" s="237">
        <v>3</v>
      </c>
      <c r="H29" s="237">
        <v>18</v>
      </c>
      <c r="I29" s="237">
        <v>32</v>
      </c>
      <c r="J29" s="237">
        <v>8</v>
      </c>
      <c r="K29" s="237">
        <v>61</v>
      </c>
    </row>
    <row r="30" spans="1:11" ht="15" customHeight="1">
      <c r="A30" s="6"/>
      <c r="B30" s="370"/>
      <c r="C30" s="62"/>
      <c r="D30" s="170">
        <v>2017</v>
      </c>
      <c r="E30" s="237">
        <f>SUM(F30:K30)</f>
        <v>149</v>
      </c>
      <c r="F30" s="237">
        <f>53+7</f>
        <v>60</v>
      </c>
      <c r="G30" s="237">
        <v>1</v>
      </c>
      <c r="H30" s="237">
        <v>15</v>
      </c>
      <c r="I30" s="237">
        <v>27</v>
      </c>
      <c r="J30" s="371" t="s">
        <v>51</v>
      </c>
      <c r="K30" s="237">
        <f>1+1+22+22</f>
        <v>46</v>
      </c>
    </row>
    <row r="31" spans="1:11" ht="15" customHeight="1">
      <c r="A31" s="6"/>
      <c r="B31" s="370"/>
      <c r="C31" s="62"/>
      <c r="D31" s="170"/>
      <c r="E31" s="237"/>
      <c r="F31" s="237"/>
      <c r="G31" s="237"/>
      <c r="H31" s="237"/>
      <c r="I31" s="237"/>
      <c r="J31" s="237"/>
      <c r="K31" s="237"/>
    </row>
    <row r="32" spans="1:11" ht="15" customHeight="1">
      <c r="B32" s="370" t="s">
        <v>152</v>
      </c>
      <c r="C32" s="62"/>
      <c r="D32" s="170">
        <v>2015</v>
      </c>
      <c r="E32" s="237">
        <f>SUM(F32:K32)</f>
        <v>172</v>
      </c>
      <c r="F32" s="237">
        <v>12</v>
      </c>
      <c r="G32" s="237">
        <v>3</v>
      </c>
      <c r="H32" s="237">
        <v>19</v>
      </c>
      <c r="I32" s="237">
        <v>129</v>
      </c>
      <c r="J32" s="371" t="s">
        <v>51</v>
      </c>
      <c r="K32" s="237">
        <v>9</v>
      </c>
    </row>
    <row r="33" spans="1:11" ht="15" customHeight="1">
      <c r="B33" s="370"/>
      <c r="C33" s="62"/>
      <c r="D33" s="170">
        <v>2016</v>
      </c>
      <c r="E33" s="237">
        <f>SUM(F33:K33)</f>
        <v>111</v>
      </c>
      <c r="F33" s="237">
        <v>18</v>
      </c>
      <c r="G33" s="237">
        <v>4</v>
      </c>
      <c r="H33" s="237">
        <v>6</v>
      </c>
      <c r="I33" s="237">
        <v>63</v>
      </c>
      <c r="J33" s="371" t="s">
        <v>51</v>
      </c>
      <c r="K33" s="237">
        <v>20</v>
      </c>
    </row>
    <row r="34" spans="1:11" ht="15" customHeight="1">
      <c r="A34" s="6"/>
      <c r="B34" s="370"/>
      <c r="C34" s="62"/>
      <c r="D34" s="170">
        <v>2017</v>
      </c>
      <c r="E34" s="237">
        <f>SUM(F34:K34)</f>
        <v>120</v>
      </c>
      <c r="F34" s="237">
        <f>18+9</f>
        <v>27</v>
      </c>
      <c r="G34" s="237"/>
      <c r="H34" s="237">
        <v>6</v>
      </c>
      <c r="I34" s="237">
        <v>66</v>
      </c>
      <c r="J34" s="237">
        <v>1</v>
      </c>
      <c r="K34" s="237">
        <f>1+1+11+7</f>
        <v>20</v>
      </c>
    </row>
    <row r="35" spans="1:11" ht="15" customHeight="1">
      <c r="A35" s="6"/>
      <c r="B35" s="370"/>
      <c r="C35" s="62"/>
      <c r="D35" s="170"/>
      <c r="E35" s="237"/>
      <c r="F35" s="237"/>
      <c r="G35" s="237"/>
      <c r="H35" s="237"/>
      <c r="I35" s="237"/>
      <c r="J35" s="237"/>
      <c r="K35" s="237"/>
    </row>
    <row r="36" spans="1:11" ht="15" customHeight="1">
      <c r="B36" s="370" t="s">
        <v>153</v>
      </c>
      <c r="C36" s="62"/>
      <c r="D36" s="170">
        <v>2015</v>
      </c>
      <c r="E36" s="237">
        <f>SUM(F36:K36)</f>
        <v>798</v>
      </c>
      <c r="F36" s="237">
        <v>178</v>
      </c>
      <c r="G36" s="237">
        <v>29</v>
      </c>
      <c r="H36" s="237">
        <v>73</v>
      </c>
      <c r="I36" s="237">
        <v>304</v>
      </c>
      <c r="J36" s="237">
        <v>32</v>
      </c>
      <c r="K36" s="237">
        <v>182</v>
      </c>
    </row>
    <row r="37" spans="1:11" ht="15" customHeight="1">
      <c r="B37" s="370"/>
      <c r="C37" s="62"/>
      <c r="D37" s="170">
        <v>2016</v>
      </c>
      <c r="E37" s="237">
        <f>SUM(F37:K37)</f>
        <v>706</v>
      </c>
      <c r="F37" s="237">
        <v>180</v>
      </c>
      <c r="G37" s="237">
        <v>31</v>
      </c>
      <c r="H37" s="237">
        <v>47</v>
      </c>
      <c r="I37" s="237">
        <v>250</v>
      </c>
      <c r="J37" s="237">
        <v>11</v>
      </c>
      <c r="K37" s="237">
        <v>187</v>
      </c>
    </row>
    <row r="38" spans="1:11" ht="15" customHeight="1">
      <c r="A38" s="6"/>
      <c r="B38" s="370"/>
      <c r="C38" s="62"/>
      <c r="D38" s="170">
        <v>2017</v>
      </c>
      <c r="E38" s="237">
        <f>SUM(F38:K38)</f>
        <v>634</v>
      </c>
      <c r="F38" s="237">
        <f>142+44</f>
        <v>186</v>
      </c>
      <c r="G38" s="237">
        <v>6</v>
      </c>
      <c r="H38" s="237">
        <v>48</v>
      </c>
      <c r="I38" s="237">
        <v>191</v>
      </c>
      <c r="J38" s="371" t="s">
        <v>51</v>
      </c>
      <c r="K38" s="237">
        <f>1+17+9+85+1+88+2</f>
        <v>203</v>
      </c>
    </row>
    <row r="39" spans="1:11" ht="15" customHeight="1">
      <c r="A39" s="6"/>
      <c r="B39" s="370"/>
      <c r="C39" s="62"/>
      <c r="D39" s="170"/>
      <c r="E39" s="237"/>
      <c r="F39" s="237"/>
      <c r="G39" s="237"/>
      <c r="H39" s="237"/>
      <c r="I39" s="237"/>
      <c r="J39" s="237"/>
      <c r="K39" s="237"/>
    </row>
    <row r="40" spans="1:11" ht="15" customHeight="1">
      <c r="B40" s="370" t="s">
        <v>154</v>
      </c>
      <c r="C40" s="62"/>
      <c r="D40" s="170">
        <v>2015</v>
      </c>
      <c r="E40" s="237">
        <f>SUM(F40:K40)</f>
        <v>41</v>
      </c>
      <c r="F40" s="237">
        <v>8</v>
      </c>
      <c r="G40" s="371" t="s">
        <v>51</v>
      </c>
      <c r="H40" s="371" t="s">
        <v>51</v>
      </c>
      <c r="I40" s="237">
        <v>18</v>
      </c>
      <c r="J40" s="371" t="s">
        <v>51</v>
      </c>
      <c r="K40" s="237">
        <v>15</v>
      </c>
    </row>
    <row r="41" spans="1:11" ht="15" customHeight="1">
      <c r="B41" s="370"/>
      <c r="C41" s="62"/>
      <c r="D41" s="170">
        <v>2016</v>
      </c>
      <c r="E41" s="237">
        <f>SUM(F41:K41)</f>
        <v>46</v>
      </c>
      <c r="F41" s="237">
        <v>18</v>
      </c>
      <c r="G41" s="237">
        <v>1</v>
      </c>
      <c r="H41" s="371" t="s">
        <v>51</v>
      </c>
      <c r="I41" s="237">
        <v>18</v>
      </c>
      <c r="J41" s="371" t="s">
        <v>51</v>
      </c>
      <c r="K41" s="237">
        <v>9</v>
      </c>
    </row>
    <row r="42" spans="1:11" ht="15" customHeight="1">
      <c r="A42" s="6"/>
      <c r="B42" s="370"/>
      <c r="C42" s="62"/>
      <c r="D42" s="170">
        <v>2017</v>
      </c>
      <c r="E42" s="237">
        <f>SUM(F42:K42)</f>
        <v>29</v>
      </c>
      <c r="F42" s="237">
        <v>5</v>
      </c>
      <c r="G42" s="237">
        <v>1</v>
      </c>
      <c r="H42" s="371" t="s">
        <v>51</v>
      </c>
      <c r="I42" s="237">
        <v>19</v>
      </c>
      <c r="J42" s="371" t="s">
        <v>51</v>
      </c>
      <c r="K42" s="237">
        <f>1+1+2</f>
        <v>4</v>
      </c>
    </row>
    <row r="43" spans="1:11" ht="15" customHeight="1">
      <c r="A43" s="6"/>
      <c r="B43" s="370"/>
      <c r="C43" s="62"/>
      <c r="D43" s="170"/>
      <c r="E43" s="237"/>
      <c r="F43" s="237"/>
      <c r="G43" s="237"/>
      <c r="H43" s="237"/>
      <c r="I43" s="237"/>
      <c r="J43" s="237"/>
      <c r="K43" s="237"/>
    </row>
    <row r="44" spans="1:11" ht="15" customHeight="1">
      <c r="B44" s="370" t="s">
        <v>155</v>
      </c>
      <c r="C44" s="62"/>
      <c r="D44" s="170">
        <v>2015</v>
      </c>
      <c r="E44" s="237">
        <f>SUM(F44:K44)</f>
        <v>8</v>
      </c>
      <c r="F44" s="237">
        <v>3</v>
      </c>
      <c r="G44" s="371" t="s">
        <v>51</v>
      </c>
      <c r="H44" s="371" t="s">
        <v>51</v>
      </c>
      <c r="I44" s="371" t="s">
        <v>51</v>
      </c>
      <c r="J44" s="371" t="s">
        <v>51</v>
      </c>
      <c r="K44" s="237">
        <v>5</v>
      </c>
    </row>
    <row r="45" spans="1:11" ht="15" customHeight="1">
      <c r="B45" s="370"/>
      <c r="C45" s="62"/>
      <c r="D45" s="170">
        <v>2016</v>
      </c>
      <c r="E45" s="237">
        <f>SUM(F45:K45)</f>
        <v>4</v>
      </c>
      <c r="F45" s="237">
        <v>2</v>
      </c>
      <c r="G45" s="371" t="s">
        <v>51</v>
      </c>
      <c r="H45" s="371" t="s">
        <v>51</v>
      </c>
      <c r="I45" s="371" t="s">
        <v>51</v>
      </c>
      <c r="J45" s="371" t="s">
        <v>51</v>
      </c>
      <c r="K45" s="237">
        <v>2</v>
      </c>
    </row>
    <row r="46" spans="1:11" ht="15" customHeight="1">
      <c r="A46" s="6"/>
      <c r="B46" s="370"/>
      <c r="C46" s="62"/>
      <c r="D46" s="170">
        <v>2017</v>
      </c>
      <c r="E46" s="237">
        <f>SUM(F46:K46)</f>
        <v>4</v>
      </c>
      <c r="F46" s="237">
        <v>1</v>
      </c>
      <c r="G46" s="371" t="s">
        <v>51</v>
      </c>
      <c r="H46" s="371" t="s">
        <v>51</v>
      </c>
      <c r="I46" s="371" t="s">
        <v>51</v>
      </c>
      <c r="J46" s="371" t="s">
        <v>51</v>
      </c>
      <c r="K46" s="237">
        <f>1+2</f>
        <v>3</v>
      </c>
    </row>
    <row r="47" spans="1:11" ht="15" customHeight="1">
      <c r="A47" s="6"/>
      <c r="B47" s="370"/>
      <c r="C47" s="62"/>
      <c r="D47" s="170"/>
      <c r="E47" s="237"/>
      <c r="F47" s="237"/>
      <c r="G47" s="237"/>
      <c r="H47" s="237"/>
      <c r="I47" s="237"/>
      <c r="J47" s="237"/>
      <c r="K47" s="237"/>
    </row>
    <row r="48" spans="1:11" ht="15" customHeight="1">
      <c r="B48" s="370" t="s">
        <v>156</v>
      </c>
      <c r="C48" s="62"/>
      <c r="D48" s="170">
        <v>2015</v>
      </c>
      <c r="E48" s="237">
        <f>SUM(F48:K48)</f>
        <v>103</v>
      </c>
      <c r="F48" s="237">
        <v>11</v>
      </c>
      <c r="G48" s="237">
        <v>1</v>
      </c>
      <c r="H48" s="237">
        <v>9</v>
      </c>
      <c r="I48" s="237">
        <v>65</v>
      </c>
      <c r="J48" s="371" t="s">
        <v>51</v>
      </c>
      <c r="K48" s="237">
        <v>17</v>
      </c>
    </row>
    <row r="49" spans="1:12" ht="15" customHeight="1">
      <c r="B49" s="370"/>
      <c r="C49" s="62"/>
      <c r="D49" s="170">
        <v>2016</v>
      </c>
      <c r="E49" s="237">
        <f>SUM(F49:K49)</f>
        <v>109</v>
      </c>
      <c r="F49" s="237">
        <v>31</v>
      </c>
      <c r="G49" s="237">
        <v>5</v>
      </c>
      <c r="H49" s="237">
        <v>6</v>
      </c>
      <c r="I49" s="237">
        <v>35</v>
      </c>
      <c r="J49" s="371" t="s">
        <v>51</v>
      </c>
      <c r="K49" s="237">
        <v>32</v>
      </c>
    </row>
    <row r="50" spans="1:12" ht="15" customHeight="1">
      <c r="A50" s="6"/>
      <c r="B50" s="370"/>
      <c r="C50" s="62"/>
      <c r="D50" s="170">
        <v>2017</v>
      </c>
      <c r="E50" s="237">
        <f>SUM(F50:K50)</f>
        <v>95</v>
      </c>
      <c r="F50" s="237">
        <f>34+2</f>
        <v>36</v>
      </c>
      <c r="G50" s="237">
        <v>1</v>
      </c>
      <c r="H50" s="237">
        <v>4</v>
      </c>
      <c r="I50" s="237">
        <v>19</v>
      </c>
      <c r="J50" s="371" t="s">
        <v>51</v>
      </c>
      <c r="K50" s="237">
        <f>3+4+16+12</f>
        <v>35</v>
      </c>
    </row>
    <row r="51" spans="1:12" ht="15" customHeight="1">
      <c r="A51" s="6"/>
      <c r="B51" s="370"/>
      <c r="C51" s="62"/>
      <c r="D51" s="170"/>
      <c r="E51" s="237"/>
      <c r="F51" s="237"/>
      <c r="G51" s="237"/>
      <c r="H51" s="237"/>
      <c r="I51" s="237"/>
      <c r="J51" s="237"/>
      <c r="K51" s="237"/>
    </row>
    <row r="52" spans="1:12" ht="15" customHeight="1">
      <c r="B52" s="370" t="s">
        <v>157</v>
      </c>
      <c r="C52" s="62"/>
      <c r="D52" s="170">
        <v>2015</v>
      </c>
      <c r="E52" s="237">
        <f>SUM(F52:K52)</f>
        <v>23</v>
      </c>
      <c r="F52" s="237">
        <v>3</v>
      </c>
      <c r="G52" s="371" t="s">
        <v>51</v>
      </c>
      <c r="H52" s="371" t="s">
        <v>51</v>
      </c>
      <c r="I52" s="237">
        <v>7</v>
      </c>
      <c r="J52" s="237">
        <v>1</v>
      </c>
      <c r="K52" s="237">
        <v>12</v>
      </c>
    </row>
    <row r="53" spans="1:12" ht="15" customHeight="1">
      <c r="B53" s="370"/>
      <c r="C53" s="62"/>
      <c r="D53" s="170">
        <v>2016</v>
      </c>
      <c r="E53" s="237">
        <f>SUM(F53:K53)</f>
        <v>21</v>
      </c>
      <c r="F53" s="237">
        <v>2</v>
      </c>
      <c r="G53" s="237">
        <v>3</v>
      </c>
      <c r="H53" s="371" t="s">
        <v>51</v>
      </c>
      <c r="I53" s="237">
        <v>5</v>
      </c>
      <c r="J53" s="371" t="s">
        <v>51</v>
      </c>
      <c r="K53" s="237">
        <v>11</v>
      </c>
    </row>
    <row r="54" spans="1:12" ht="15" customHeight="1">
      <c r="A54" s="24"/>
      <c r="B54" s="370"/>
      <c r="C54" s="62"/>
      <c r="D54" s="170">
        <v>2017</v>
      </c>
      <c r="E54" s="237">
        <f>SUM(F54:K54)</f>
        <v>12</v>
      </c>
      <c r="F54" s="237">
        <v>1</v>
      </c>
      <c r="G54" s="371" t="s">
        <v>51</v>
      </c>
      <c r="H54" s="374">
        <v>1</v>
      </c>
      <c r="I54" s="237">
        <v>3</v>
      </c>
      <c r="J54" s="371" t="s">
        <v>51</v>
      </c>
      <c r="K54" s="237">
        <f>3+4</f>
        <v>7</v>
      </c>
    </row>
    <row r="55" spans="1:12" ht="15" customHeight="1" thickBot="1">
      <c r="A55" s="109"/>
      <c r="B55" s="372"/>
      <c r="C55" s="64"/>
      <c r="D55" s="149"/>
      <c r="E55" s="264"/>
      <c r="F55" s="264"/>
      <c r="G55" s="394"/>
      <c r="H55" s="394"/>
      <c r="I55" s="264"/>
      <c r="J55" s="264"/>
      <c r="K55" s="264"/>
      <c r="L55" s="34"/>
    </row>
    <row r="56" spans="1:12">
      <c r="B56" s="244"/>
      <c r="C56" s="244"/>
      <c r="D56" s="244"/>
      <c r="E56" s="245"/>
      <c r="F56" s="246"/>
      <c r="G56" s="348"/>
      <c r="H56" s="247"/>
      <c r="I56" s="7"/>
      <c r="J56" s="7"/>
      <c r="K56" s="8" t="s">
        <v>104</v>
      </c>
    </row>
    <row r="57" spans="1:12">
      <c r="B57" s="346"/>
      <c r="C57" s="346"/>
      <c r="D57" s="346"/>
      <c r="E57" s="349"/>
      <c r="F57" s="347"/>
      <c r="G57" s="347"/>
      <c r="H57" s="246"/>
      <c r="I57" s="346"/>
      <c r="J57" s="346"/>
      <c r="K57" s="41" t="s">
        <v>1</v>
      </c>
    </row>
  </sheetData>
  <mergeCells count="6">
    <mergeCell ref="B10:C11"/>
    <mergeCell ref="E10:E11"/>
    <mergeCell ref="F10:F11"/>
    <mergeCell ref="G10:I10"/>
    <mergeCell ref="J10:J11"/>
    <mergeCell ref="K10:K11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5" fitToWidth="0" orientation="portrait" r:id="rId1"/>
  <headerFooter>
    <oddHeader xml:space="preserve">&amp;R&amp;"-,Bold"
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N78"/>
  <sheetViews>
    <sheetView showGridLines="0" zoomScaleNormal="100" zoomScaleSheetLayoutView="90" workbookViewId="0">
      <selection activeCell="AF36" sqref="AF36"/>
    </sheetView>
  </sheetViews>
  <sheetFormatPr defaultRowHeight="15"/>
  <cols>
    <col min="1" max="1" width="0.85546875" style="2" customWidth="1"/>
    <col min="2" max="2" width="10.42578125" style="3" customWidth="1"/>
    <col min="3" max="3" width="8.5703125" style="3" customWidth="1"/>
    <col min="4" max="4" width="10.42578125" style="3" customWidth="1"/>
    <col min="5" max="5" width="10.5703125" style="4" customWidth="1"/>
    <col min="6" max="6" width="11.7109375" style="5" customWidth="1"/>
    <col min="7" max="7" width="10.28515625" style="5" customWidth="1"/>
    <col min="8" max="8" width="11.7109375" style="261" customWidth="1"/>
    <col min="9" max="9" width="12.28515625" style="5" customWidth="1"/>
    <col min="10" max="10" width="10.5703125" style="2" customWidth="1"/>
    <col min="11" max="11" width="11.7109375" style="2" customWidth="1"/>
    <col min="12" max="12" width="1.28515625" style="2" customWidth="1"/>
    <col min="13" max="16384" width="9.140625" style="2"/>
  </cols>
  <sheetData>
    <row r="1" spans="1:12" s="30" customFormat="1" ht="12.95" customHeight="1">
      <c r="B1" s="27"/>
      <c r="C1" s="27"/>
      <c r="D1" s="29"/>
      <c r="E1" s="28"/>
      <c r="F1" s="29"/>
      <c r="J1" s="29"/>
      <c r="K1" s="199" t="s">
        <v>188</v>
      </c>
    </row>
    <row r="2" spans="1:12" s="30" customFormat="1" ht="12.95" customHeight="1">
      <c r="B2" s="27"/>
      <c r="C2" s="27"/>
      <c r="D2" s="29"/>
      <c r="E2" s="28"/>
      <c r="F2" s="29"/>
      <c r="J2" s="29"/>
      <c r="K2" s="75" t="s">
        <v>189</v>
      </c>
    </row>
    <row r="3" spans="1:12" s="30" customFormat="1" ht="12" customHeight="1">
      <c r="B3" s="27"/>
      <c r="C3" s="27"/>
      <c r="D3" s="29"/>
      <c r="E3" s="28"/>
      <c r="F3" s="29"/>
      <c r="G3" s="75"/>
      <c r="J3" s="29"/>
    </row>
    <row r="4" spans="1:12" s="30" customFormat="1" ht="12" customHeight="1">
      <c r="B4" s="27"/>
      <c r="C4" s="27"/>
      <c r="D4" s="29"/>
      <c r="E4" s="28"/>
      <c r="F4" s="29"/>
      <c r="G4" s="75"/>
      <c r="J4" s="29"/>
    </row>
    <row r="5" spans="1:12" s="55" customFormat="1" ht="9.9499999999999993" customHeight="1">
      <c r="B5" s="124"/>
      <c r="C5" s="124"/>
      <c r="D5" s="265"/>
      <c r="E5" s="266"/>
      <c r="F5" s="265"/>
      <c r="G5" s="265"/>
      <c r="H5" s="267"/>
      <c r="I5" s="265"/>
      <c r="J5" s="123"/>
    </row>
    <row r="6" spans="1:12" s="55" customFormat="1" ht="15" customHeight="1">
      <c r="B6" s="70" t="s">
        <v>234</v>
      </c>
      <c r="C6" s="71" t="s">
        <v>241</v>
      </c>
      <c r="D6" s="265"/>
      <c r="E6" s="266"/>
      <c r="F6" s="71"/>
      <c r="G6" s="71"/>
      <c r="H6" s="71"/>
      <c r="I6" s="71"/>
      <c r="J6" s="88"/>
      <c r="K6" s="71"/>
      <c r="L6" s="241"/>
    </row>
    <row r="7" spans="1:12" s="55" customFormat="1" ht="18" customHeight="1">
      <c r="B7" s="89" t="s">
        <v>236</v>
      </c>
      <c r="C7" s="95" t="s">
        <v>242</v>
      </c>
      <c r="D7" s="265"/>
      <c r="E7" s="266"/>
      <c r="F7" s="95"/>
      <c r="G7" s="95"/>
      <c r="H7" s="95"/>
      <c r="I7" s="95"/>
      <c r="J7" s="339"/>
      <c r="K7" s="95"/>
      <c r="L7" s="243"/>
    </row>
    <row r="8" spans="1:12" s="55" customFormat="1" ht="8.1" customHeight="1" thickBot="1">
      <c r="B8" s="282"/>
      <c r="C8" s="282"/>
      <c r="D8" s="311"/>
      <c r="E8" s="310"/>
      <c r="F8" s="311"/>
      <c r="G8" s="311"/>
      <c r="H8" s="312"/>
      <c r="I8" s="311"/>
      <c r="J8" s="172"/>
      <c r="K8" s="125"/>
    </row>
    <row r="9" spans="1:12" s="55" customFormat="1" ht="8.1" customHeight="1" thickTop="1">
      <c r="A9" s="268"/>
      <c r="B9" s="270"/>
      <c r="C9" s="270"/>
      <c r="D9" s="273"/>
      <c r="E9" s="313"/>
      <c r="F9" s="273"/>
      <c r="G9" s="273"/>
      <c r="H9" s="314"/>
      <c r="I9" s="273"/>
      <c r="J9" s="272"/>
      <c r="K9" s="268"/>
      <c r="L9" s="268"/>
    </row>
    <row r="10" spans="1:12" s="55" customFormat="1" ht="30.75" customHeight="1">
      <c r="A10" s="249"/>
      <c r="B10" s="315" t="s">
        <v>238</v>
      </c>
      <c r="C10" s="315"/>
      <c r="D10" s="350" t="s">
        <v>100</v>
      </c>
      <c r="E10" s="259" t="s">
        <v>95</v>
      </c>
      <c r="F10" s="259" t="s">
        <v>239</v>
      </c>
      <c r="G10" s="255" t="s">
        <v>218</v>
      </c>
      <c r="H10" s="255"/>
      <c r="I10" s="255"/>
      <c r="J10" s="256" t="s">
        <v>219</v>
      </c>
      <c r="K10" s="259" t="s">
        <v>220</v>
      </c>
      <c r="L10" s="249"/>
    </row>
    <row r="11" spans="1:12" s="111" customFormat="1" ht="55.5" customHeight="1">
      <c r="A11" s="257"/>
      <c r="B11" s="317"/>
      <c r="C11" s="317"/>
      <c r="D11" s="340"/>
      <c r="E11" s="318"/>
      <c r="F11" s="318"/>
      <c r="G11" s="319" t="s">
        <v>221</v>
      </c>
      <c r="H11" s="319" t="s">
        <v>222</v>
      </c>
      <c r="I11" s="319" t="s">
        <v>240</v>
      </c>
      <c r="J11" s="260"/>
      <c r="K11" s="318"/>
      <c r="L11" s="257"/>
    </row>
    <row r="12" spans="1:12" s="6" customFormat="1" ht="8.1" customHeight="1">
      <c r="A12" s="24"/>
      <c r="B12" s="377"/>
      <c r="C12" s="377"/>
      <c r="D12" s="390"/>
      <c r="E12" s="379"/>
      <c r="F12" s="380"/>
      <c r="G12" s="379"/>
      <c r="H12" s="379"/>
      <c r="I12" s="379"/>
      <c r="J12" s="380"/>
      <c r="K12" s="379"/>
    </row>
    <row r="13" spans="1:12" s="125" customFormat="1" ht="12.95" customHeight="1">
      <c r="A13" s="55"/>
      <c r="B13" s="68" t="s">
        <v>105</v>
      </c>
      <c r="C13" s="133"/>
      <c r="D13" s="69">
        <v>2015</v>
      </c>
      <c r="E13" s="174">
        <f>SUM(F13:K13)</f>
        <v>25964</v>
      </c>
      <c r="F13" s="233">
        <v>5805</v>
      </c>
      <c r="G13" s="233">
        <v>1326</v>
      </c>
      <c r="H13" s="233">
        <v>3932</v>
      </c>
      <c r="I13" s="233">
        <v>9794</v>
      </c>
      <c r="J13" s="233">
        <v>950</v>
      </c>
      <c r="K13" s="233">
        <v>4157</v>
      </c>
    </row>
    <row r="14" spans="1:12" s="125" customFormat="1" ht="12.95" customHeight="1">
      <c r="A14" s="55"/>
      <c r="B14" s="133"/>
      <c r="C14" s="133"/>
      <c r="D14" s="69">
        <v>2016</v>
      </c>
      <c r="E14" s="174">
        <f t="shared" ref="E14" si="0">SUM(F14:K14)</f>
        <v>24612</v>
      </c>
      <c r="F14" s="233">
        <v>5497</v>
      </c>
      <c r="G14" s="233">
        <v>1140</v>
      </c>
      <c r="H14" s="233">
        <v>3309</v>
      </c>
      <c r="I14" s="233">
        <v>8890</v>
      </c>
      <c r="J14" s="233">
        <v>983</v>
      </c>
      <c r="K14" s="233">
        <v>4793</v>
      </c>
    </row>
    <row r="15" spans="1:12" s="125" customFormat="1" ht="12.95" customHeight="1">
      <c r="A15" s="55"/>
      <c r="B15" s="133"/>
      <c r="C15" s="133"/>
      <c r="D15" s="69">
        <v>2017</v>
      </c>
      <c r="E15" s="174">
        <f>SUM(F15:K15)</f>
        <v>19599</v>
      </c>
      <c r="F15" s="233">
        <f>F19+F23+F27+F31+F35+F39+F43+F47+F51+F55+F59+F63+F67+F71+F75</f>
        <v>4133</v>
      </c>
      <c r="G15" s="233">
        <f t="shared" ref="G15:K15" si="1">G19+G23+G27+G31+G35+G39+G43+G47+G51+G55+G59+G63+G67+G71+G75</f>
        <v>844</v>
      </c>
      <c r="H15" s="233">
        <f t="shared" si="1"/>
        <v>2586</v>
      </c>
      <c r="I15" s="233">
        <f t="shared" si="1"/>
        <v>7945</v>
      </c>
      <c r="J15" s="233">
        <f>J19+J23+J27+J35+J39+J43+J47+J51+J55+J63+J67+J75</f>
        <v>140</v>
      </c>
      <c r="K15" s="233">
        <f t="shared" si="1"/>
        <v>3951</v>
      </c>
    </row>
    <row r="16" spans="1:12" s="125" customFormat="1" ht="8.1" customHeight="1">
      <c r="A16" s="55"/>
      <c r="B16" s="133"/>
      <c r="C16" s="133"/>
      <c r="D16" s="69"/>
      <c r="E16" s="174"/>
      <c r="F16" s="233"/>
      <c r="G16" s="233"/>
      <c r="H16" s="233"/>
      <c r="I16" s="233"/>
      <c r="J16" s="233"/>
      <c r="K16" s="233"/>
    </row>
    <row r="17" spans="1:14" s="55" customFormat="1" ht="12.95" customHeight="1">
      <c r="B17" s="62" t="s">
        <v>106</v>
      </c>
      <c r="C17" s="62"/>
      <c r="D17" s="170">
        <v>2015</v>
      </c>
      <c r="E17" s="175">
        <f>SUM(F17:K17)</f>
        <v>2764</v>
      </c>
      <c r="F17" s="237">
        <v>749</v>
      </c>
      <c r="G17" s="237">
        <v>90</v>
      </c>
      <c r="H17" s="237">
        <v>340</v>
      </c>
      <c r="I17" s="237">
        <v>857</v>
      </c>
      <c r="J17" s="237">
        <v>220</v>
      </c>
      <c r="K17" s="237">
        <v>508</v>
      </c>
    </row>
    <row r="18" spans="1:14" s="55" customFormat="1" ht="12.95" customHeight="1">
      <c r="A18" s="125"/>
      <c r="B18" s="62"/>
      <c r="C18" s="62"/>
      <c r="D18" s="170">
        <v>2016</v>
      </c>
      <c r="E18" s="175">
        <f t="shared" ref="E18" si="2">SUM(F18:K18)</f>
        <v>2549</v>
      </c>
      <c r="F18" s="237">
        <v>600</v>
      </c>
      <c r="G18" s="237">
        <v>82</v>
      </c>
      <c r="H18" s="237">
        <v>313</v>
      </c>
      <c r="I18" s="237">
        <v>780</v>
      </c>
      <c r="J18" s="237">
        <v>233</v>
      </c>
      <c r="K18" s="237">
        <v>541</v>
      </c>
    </row>
    <row r="19" spans="1:14" s="55" customFormat="1" ht="12.95" customHeight="1">
      <c r="A19" s="125"/>
      <c r="B19" s="62"/>
      <c r="C19" s="62"/>
      <c r="D19" s="170">
        <v>2017</v>
      </c>
      <c r="E19" s="175">
        <f>SUM(F19:K19)</f>
        <v>1960</v>
      </c>
      <c r="F19" s="237">
        <v>390</v>
      </c>
      <c r="G19" s="237">
        <v>58</v>
      </c>
      <c r="H19" s="237">
        <v>274</v>
      </c>
      <c r="I19" s="237">
        <v>817</v>
      </c>
      <c r="J19" s="237">
        <v>3</v>
      </c>
      <c r="K19" s="237">
        <v>418</v>
      </c>
    </row>
    <row r="20" spans="1:14" s="55" customFormat="1" ht="8.1" customHeight="1">
      <c r="A20" s="125"/>
      <c r="B20" s="62"/>
      <c r="C20" s="62"/>
      <c r="D20" s="170"/>
      <c r="E20" s="175"/>
      <c r="F20" s="237"/>
      <c r="G20" s="237"/>
      <c r="H20" s="237"/>
      <c r="I20" s="237"/>
      <c r="J20" s="237"/>
      <c r="K20" s="237"/>
    </row>
    <row r="21" spans="1:14" s="55" customFormat="1" ht="12.95" customHeight="1">
      <c r="B21" s="62" t="s">
        <v>107</v>
      </c>
      <c r="C21" s="62"/>
      <c r="D21" s="170">
        <v>2015</v>
      </c>
      <c r="E21" s="175">
        <f>SUM(F21:K21)</f>
        <v>3097</v>
      </c>
      <c r="F21" s="371">
        <v>699</v>
      </c>
      <c r="G21" s="371">
        <v>174</v>
      </c>
      <c r="H21" s="237">
        <v>502</v>
      </c>
      <c r="I21" s="371">
        <v>1396</v>
      </c>
      <c r="J21" s="237">
        <v>3</v>
      </c>
      <c r="K21" s="237">
        <v>323</v>
      </c>
    </row>
    <row r="22" spans="1:14" s="55" customFormat="1" ht="12.95" customHeight="1">
      <c r="B22" s="62"/>
      <c r="C22" s="62"/>
      <c r="D22" s="170">
        <v>2016</v>
      </c>
      <c r="E22" s="175">
        <f t="shared" ref="E22" si="3">SUM(F22:K22)</f>
        <v>2862</v>
      </c>
      <c r="F22" s="237">
        <v>734</v>
      </c>
      <c r="G22" s="237">
        <v>105</v>
      </c>
      <c r="H22" s="237">
        <v>478</v>
      </c>
      <c r="I22" s="237">
        <v>1192</v>
      </c>
      <c r="J22" s="237">
        <v>20</v>
      </c>
      <c r="K22" s="237">
        <v>333</v>
      </c>
    </row>
    <row r="23" spans="1:14" s="124" customFormat="1" ht="12.95" customHeight="1">
      <c r="A23" s="125"/>
      <c r="B23" s="62"/>
      <c r="C23" s="62"/>
      <c r="D23" s="170">
        <v>2017</v>
      </c>
      <c r="E23" s="175">
        <f>SUM(F23:K23)</f>
        <v>2246</v>
      </c>
      <c r="F23" s="371">
        <v>472</v>
      </c>
      <c r="G23" s="371">
        <v>101</v>
      </c>
      <c r="H23" s="237">
        <v>388</v>
      </c>
      <c r="I23" s="371">
        <v>1067</v>
      </c>
      <c r="J23" s="237">
        <v>3</v>
      </c>
      <c r="K23" s="237">
        <v>215</v>
      </c>
      <c r="L23" s="55"/>
      <c r="M23" s="55"/>
      <c r="N23" s="55"/>
    </row>
    <row r="24" spans="1:14" s="124" customFormat="1" ht="8.1" customHeight="1">
      <c r="A24" s="125"/>
      <c r="B24" s="62"/>
      <c r="C24" s="62"/>
      <c r="D24" s="170"/>
      <c r="E24" s="175"/>
      <c r="F24" s="371"/>
      <c r="G24" s="371"/>
      <c r="H24" s="237"/>
      <c r="I24" s="371"/>
      <c r="J24" s="237"/>
      <c r="K24" s="237"/>
      <c r="L24" s="55"/>
      <c r="M24" s="55"/>
      <c r="N24" s="55"/>
    </row>
    <row r="25" spans="1:14" s="55" customFormat="1" ht="12.95" customHeight="1">
      <c r="B25" s="62" t="s">
        <v>108</v>
      </c>
      <c r="C25" s="62"/>
      <c r="D25" s="170">
        <v>2015</v>
      </c>
      <c r="E25" s="175">
        <f>SUM(F25:K25)</f>
        <v>435</v>
      </c>
      <c r="F25" s="237">
        <v>44</v>
      </c>
      <c r="G25" s="237">
        <v>33</v>
      </c>
      <c r="H25" s="237">
        <v>43</v>
      </c>
      <c r="I25" s="237">
        <v>235</v>
      </c>
      <c r="J25" s="237">
        <v>10</v>
      </c>
      <c r="K25" s="237">
        <v>70</v>
      </c>
    </row>
    <row r="26" spans="1:14" s="55" customFormat="1" ht="12.95" customHeight="1">
      <c r="B26" s="62"/>
      <c r="C26" s="62"/>
      <c r="D26" s="170">
        <v>2016</v>
      </c>
      <c r="E26" s="175">
        <f t="shared" ref="E26" si="4">SUM(F26:K26)</f>
        <v>405</v>
      </c>
      <c r="F26" s="237">
        <v>70</v>
      </c>
      <c r="G26" s="237">
        <v>24</v>
      </c>
      <c r="H26" s="237">
        <v>30</v>
      </c>
      <c r="I26" s="237">
        <v>190</v>
      </c>
      <c r="J26" s="237">
        <v>7</v>
      </c>
      <c r="K26" s="237">
        <v>84</v>
      </c>
    </row>
    <row r="27" spans="1:14" s="55" customFormat="1" ht="12.95" customHeight="1">
      <c r="A27" s="125"/>
      <c r="B27" s="62"/>
      <c r="C27" s="62"/>
      <c r="D27" s="170">
        <v>2017</v>
      </c>
      <c r="E27" s="175">
        <f>SUM(F27:K27)</f>
        <v>372</v>
      </c>
      <c r="F27" s="237">
        <v>86</v>
      </c>
      <c r="G27" s="237">
        <v>14</v>
      </c>
      <c r="H27" s="237">
        <v>29</v>
      </c>
      <c r="I27" s="237">
        <v>152</v>
      </c>
      <c r="J27" s="237">
        <v>2</v>
      </c>
      <c r="K27" s="237">
        <v>89</v>
      </c>
    </row>
    <row r="28" spans="1:14" s="55" customFormat="1" ht="8.1" customHeight="1">
      <c r="A28" s="125"/>
      <c r="B28" s="62"/>
      <c r="C28" s="62"/>
      <c r="D28" s="170"/>
      <c r="E28" s="175"/>
      <c r="F28" s="237"/>
      <c r="G28" s="237"/>
      <c r="H28" s="237"/>
      <c r="I28" s="237"/>
      <c r="J28" s="237"/>
      <c r="K28" s="237"/>
    </row>
    <row r="29" spans="1:14" s="55" customFormat="1" ht="12.95" customHeight="1">
      <c r="B29" s="62" t="s">
        <v>109</v>
      </c>
      <c r="C29" s="62"/>
      <c r="D29" s="170">
        <v>2015</v>
      </c>
      <c r="E29" s="175">
        <f>SUM(F29:K29)</f>
        <v>3320</v>
      </c>
      <c r="F29" s="237">
        <v>942</v>
      </c>
      <c r="G29" s="237">
        <v>160</v>
      </c>
      <c r="H29" s="237">
        <v>396</v>
      </c>
      <c r="I29" s="237">
        <v>1174</v>
      </c>
      <c r="J29" s="237">
        <v>128</v>
      </c>
      <c r="K29" s="237">
        <v>520</v>
      </c>
    </row>
    <row r="30" spans="1:14" s="55" customFormat="1" ht="12.95" customHeight="1">
      <c r="B30" s="62"/>
      <c r="C30" s="62"/>
      <c r="D30" s="170">
        <v>2016</v>
      </c>
      <c r="E30" s="175">
        <f t="shared" ref="E30" si="5">SUM(F30:K30)</f>
        <v>3235</v>
      </c>
      <c r="F30" s="237">
        <v>824</v>
      </c>
      <c r="G30" s="237">
        <v>143</v>
      </c>
      <c r="H30" s="237">
        <v>354</v>
      </c>
      <c r="I30" s="237">
        <v>1286</v>
      </c>
      <c r="J30" s="237">
        <v>146</v>
      </c>
      <c r="K30" s="237">
        <v>482</v>
      </c>
    </row>
    <row r="31" spans="1:14" s="55" customFormat="1" ht="12.95" customHeight="1">
      <c r="A31" s="125"/>
      <c r="B31" s="62"/>
      <c r="C31" s="62"/>
      <c r="D31" s="170">
        <v>2017</v>
      </c>
      <c r="E31" s="175">
        <f>SUM(F31:K31)</f>
        <v>2641</v>
      </c>
      <c r="F31" s="237">
        <v>698</v>
      </c>
      <c r="G31" s="237">
        <v>107</v>
      </c>
      <c r="H31" s="237">
        <v>245</v>
      </c>
      <c r="I31" s="237">
        <v>920</v>
      </c>
      <c r="J31" s="371" t="s">
        <v>51</v>
      </c>
      <c r="K31" s="237">
        <v>671</v>
      </c>
    </row>
    <row r="32" spans="1:14" s="55" customFormat="1" ht="8.1" customHeight="1">
      <c r="A32" s="125"/>
      <c r="B32" s="62"/>
      <c r="C32" s="62"/>
      <c r="D32" s="170"/>
      <c r="E32" s="175"/>
      <c r="F32" s="237"/>
      <c r="G32" s="237"/>
      <c r="H32" s="237"/>
      <c r="I32" s="237"/>
      <c r="J32" s="237"/>
      <c r="K32" s="237"/>
    </row>
    <row r="33" spans="1:11" s="55" customFormat="1" ht="12.95" customHeight="1">
      <c r="B33" s="62" t="s">
        <v>110</v>
      </c>
      <c r="C33" s="62"/>
      <c r="D33" s="170">
        <v>2015</v>
      </c>
      <c r="E33" s="175">
        <f>SUM(F33:K33)</f>
        <v>1900</v>
      </c>
      <c r="F33" s="237">
        <v>361</v>
      </c>
      <c r="G33" s="237">
        <v>120</v>
      </c>
      <c r="H33" s="237">
        <v>399</v>
      </c>
      <c r="I33" s="237">
        <v>803</v>
      </c>
      <c r="J33" s="237">
        <v>21</v>
      </c>
      <c r="K33" s="237">
        <v>196</v>
      </c>
    </row>
    <row r="34" spans="1:11" s="55" customFormat="1" ht="12.95" customHeight="1">
      <c r="B34" s="62"/>
      <c r="C34" s="62"/>
      <c r="D34" s="170">
        <v>2016</v>
      </c>
      <c r="E34" s="175">
        <f t="shared" ref="E34" si="6">SUM(F34:K34)</f>
        <v>1704</v>
      </c>
      <c r="F34" s="237">
        <v>372</v>
      </c>
      <c r="G34" s="237">
        <v>86</v>
      </c>
      <c r="H34" s="237">
        <v>277</v>
      </c>
      <c r="I34" s="237">
        <v>718</v>
      </c>
      <c r="J34" s="237">
        <v>18</v>
      </c>
      <c r="K34" s="237">
        <v>233</v>
      </c>
    </row>
    <row r="35" spans="1:11" s="55" customFormat="1" ht="12.95" customHeight="1">
      <c r="A35" s="125"/>
      <c r="B35" s="62"/>
      <c r="C35" s="62"/>
      <c r="D35" s="170">
        <v>2017</v>
      </c>
      <c r="E35" s="175">
        <f>SUM(F35:K35)</f>
        <v>1610</v>
      </c>
      <c r="F35" s="237">
        <v>448</v>
      </c>
      <c r="G35" s="237">
        <v>75</v>
      </c>
      <c r="H35" s="237">
        <v>198</v>
      </c>
      <c r="I35" s="237">
        <v>671</v>
      </c>
      <c r="J35" s="371">
        <v>8</v>
      </c>
      <c r="K35" s="237">
        <v>210</v>
      </c>
    </row>
    <row r="36" spans="1:11" s="55" customFormat="1" ht="8.1" customHeight="1">
      <c r="A36" s="125"/>
      <c r="B36" s="62"/>
      <c r="C36" s="62"/>
      <c r="D36" s="170"/>
      <c r="E36" s="175"/>
      <c r="F36" s="237"/>
      <c r="G36" s="237"/>
      <c r="H36" s="237"/>
      <c r="I36" s="237"/>
      <c r="J36" s="237"/>
      <c r="K36" s="237"/>
    </row>
    <row r="37" spans="1:11" s="55" customFormat="1" ht="12.95" customHeight="1">
      <c r="B37" s="62" t="s">
        <v>111</v>
      </c>
      <c r="C37" s="62"/>
      <c r="D37" s="170">
        <v>2015</v>
      </c>
      <c r="E37" s="175">
        <f>SUM(F37:K37)</f>
        <v>1194</v>
      </c>
      <c r="F37" s="237">
        <v>181</v>
      </c>
      <c r="G37" s="237">
        <v>100</v>
      </c>
      <c r="H37" s="237">
        <v>207</v>
      </c>
      <c r="I37" s="237">
        <v>588</v>
      </c>
      <c r="J37" s="237">
        <v>14</v>
      </c>
      <c r="K37" s="237">
        <v>104</v>
      </c>
    </row>
    <row r="38" spans="1:11" s="55" customFormat="1" ht="12.95" customHeight="1">
      <c r="B38" s="62"/>
      <c r="C38" s="62"/>
      <c r="D38" s="170">
        <v>2016</v>
      </c>
      <c r="E38" s="175">
        <f t="shared" ref="E38" si="7">SUM(F38:K38)</f>
        <v>1204</v>
      </c>
      <c r="F38" s="237">
        <v>287</v>
      </c>
      <c r="G38" s="237">
        <v>66</v>
      </c>
      <c r="H38" s="237">
        <v>166</v>
      </c>
      <c r="I38" s="237">
        <v>471</v>
      </c>
      <c r="J38" s="237">
        <v>25</v>
      </c>
      <c r="K38" s="237">
        <v>189</v>
      </c>
    </row>
    <row r="39" spans="1:11" s="55" customFormat="1" ht="12.95" customHeight="1">
      <c r="A39" s="125"/>
      <c r="B39" s="62"/>
      <c r="C39" s="62"/>
      <c r="D39" s="170">
        <v>2017</v>
      </c>
      <c r="E39" s="175">
        <f>SUM(F39:K39)</f>
        <v>991</v>
      </c>
      <c r="F39" s="237">
        <v>165</v>
      </c>
      <c r="G39" s="237">
        <v>55</v>
      </c>
      <c r="H39" s="237">
        <v>141</v>
      </c>
      <c r="I39" s="237">
        <v>423</v>
      </c>
      <c r="J39" s="237">
        <v>17</v>
      </c>
      <c r="K39" s="237">
        <v>190</v>
      </c>
    </row>
    <row r="40" spans="1:11" s="55" customFormat="1" ht="8.1" customHeight="1">
      <c r="A40" s="125"/>
      <c r="B40" s="62"/>
      <c r="C40" s="62"/>
      <c r="D40" s="170"/>
      <c r="E40" s="175"/>
      <c r="F40" s="237"/>
      <c r="G40" s="237"/>
      <c r="H40" s="237"/>
      <c r="I40" s="237"/>
      <c r="J40" s="237"/>
      <c r="K40" s="237"/>
    </row>
    <row r="41" spans="1:11" s="55" customFormat="1" ht="12.95" customHeight="1">
      <c r="B41" s="62" t="s">
        <v>112</v>
      </c>
      <c r="C41" s="62"/>
      <c r="D41" s="170">
        <v>2015</v>
      </c>
      <c r="E41" s="175">
        <f>SUM(F41:K41)</f>
        <v>555</v>
      </c>
      <c r="F41" s="237">
        <v>64</v>
      </c>
      <c r="G41" s="237">
        <v>26</v>
      </c>
      <c r="H41" s="237">
        <v>32</v>
      </c>
      <c r="I41" s="237">
        <v>336</v>
      </c>
      <c r="J41" s="237">
        <v>8</v>
      </c>
      <c r="K41" s="237">
        <v>89</v>
      </c>
    </row>
    <row r="42" spans="1:11" s="55" customFormat="1" ht="12.95" customHeight="1">
      <c r="B42" s="62"/>
      <c r="C42" s="62"/>
      <c r="D42" s="170">
        <v>2016</v>
      </c>
      <c r="E42" s="175">
        <f t="shared" ref="E42" si="8">SUM(F42:K42)</f>
        <v>594</v>
      </c>
      <c r="F42" s="237">
        <v>78</v>
      </c>
      <c r="G42" s="237">
        <v>29</v>
      </c>
      <c r="H42" s="237">
        <v>34</v>
      </c>
      <c r="I42" s="237">
        <v>364</v>
      </c>
      <c r="J42" s="237">
        <v>4</v>
      </c>
      <c r="K42" s="237">
        <v>85</v>
      </c>
    </row>
    <row r="43" spans="1:11" s="55" customFormat="1" ht="12.95" customHeight="1">
      <c r="A43" s="125"/>
      <c r="B43" s="62"/>
      <c r="C43" s="62"/>
      <c r="D43" s="170">
        <v>2017</v>
      </c>
      <c r="E43" s="175">
        <f>SUM(F43:K43)</f>
        <v>490</v>
      </c>
      <c r="F43" s="237">
        <v>80</v>
      </c>
      <c r="G43" s="237">
        <v>22</v>
      </c>
      <c r="H43" s="237">
        <v>33</v>
      </c>
      <c r="I43" s="237">
        <v>275</v>
      </c>
      <c r="J43" s="237">
        <v>1</v>
      </c>
      <c r="K43" s="237">
        <v>79</v>
      </c>
    </row>
    <row r="44" spans="1:11" s="55" customFormat="1" ht="8.1" customHeight="1">
      <c r="A44" s="125"/>
      <c r="B44" s="62"/>
      <c r="C44" s="62"/>
      <c r="D44" s="170"/>
      <c r="E44" s="175"/>
      <c r="F44" s="237"/>
      <c r="G44" s="237"/>
      <c r="H44" s="237"/>
      <c r="I44" s="237"/>
      <c r="J44" s="237"/>
      <c r="K44" s="237"/>
    </row>
    <row r="45" spans="1:11" s="55" customFormat="1" ht="12.95" customHeight="1">
      <c r="B45" s="62" t="s">
        <v>113</v>
      </c>
      <c r="C45" s="62"/>
      <c r="D45" s="170">
        <v>2015</v>
      </c>
      <c r="E45" s="175">
        <f>SUM(F45:K45)</f>
        <v>489</v>
      </c>
      <c r="F45" s="237">
        <v>109</v>
      </c>
      <c r="G45" s="237">
        <v>17</v>
      </c>
      <c r="H45" s="237">
        <v>26</v>
      </c>
      <c r="I45" s="237">
        <v>234</v>
      </c>
      <c r="J45" s="237">
        <v>4</v>
      </c>
      <c r="K45" s="237">
        <v>99</v>
      </c>
    </row>
    <row r="46" spans="1:11" s="55" customFormat="1" ht="12.95" customHeight="1">
      <c r="B46" s="62"/>
      <c r="C46" s="62"/>
      <c r="D46" s="170">
        <v>2016</v>
      </c>
      <c r="E46" s="175">
        <f t="shared" ref="E46" si="9">SUM(F46:K46)</f>
        <v>418</v>
      </c>
      <c r="F46" s="371">
        <v>90</v>
      </c>
      <c r="G46" s="237">
        <v>14</v>
      </c>
      <c r="H46" s="237">
        <v>21</v>
      </c>
      <c r="I46" s="237">
        <v>230</v>
      </c>
      <c r="J46" s="237">
        <v>6</v>
      </c>
      <c r="K46" s="237">
        <v>57</v>
      </c>
    </row>
    <row r="47" spans="1:11" s="55" customFormat="1" ht="12.95" customHeight="1">
      <c r="A47" s="125"/>
      <c r="B47" s="62"/>
      <c r="C47" s="62"/>
      <c r="D47" s="170">
        <v>2017</v>
      </c>
      <c r="E47" s="175">
        <f>SUM(F47:K47)</f>
        <v>320</v>
      </c>
      <c r="F47" s="237">
        <v>76</v>
      </c>
      <c r="G47" s="237">
        <v>26</v>
      </c>
      <c r="H47" s="237">
        <v>20</v>
      </c>
      <c r="I47" s="237">
        <v>155</v>
      </c>
      <c r="J47" s="237">
        <v>2</v>
      </c>
      <c r="K47" s="237">
        <v>41</v>
      </c>
    </row>
    <row r="48" spans="1:11" s="55" customFormat="1" ht="8.1" customHeight="1">
      <c r="A48" s="125"/>
      <c r="B48" s="62"/>
      <c r="C48" s="62"/>
      <c r="D48" s="170"/>
      <c r="E48" s="175"/>
      <c r="F48" s="237"/>
      <c r="G48" s="237"/>
      <c r="H48" s="237"/>
      <c r="I48" s="237"/>
      <c r="J48" s="237"/>
      <c r="K48" s="237"/>
    </row>
    <row r="49" spans="1:13" s="125" customFormat="1" ht="12.95" customHeight="1">
      <c r="A49" s="55"/>
      <c r="B49" s="62" t="s">
        <v>114</v>
      </c>
      <c r="C49" s="62"/>
      <c r="D49" s="170">
        <v>2015</v>
      </c>
      <c r="E49" s="175">
        <f>SUM(F49:K49)</f>
        <v>4143</v>
      </c>
      <c r="F49" s="237">
        <v>911</v>
      </c>
      <c r="G49" s="237">
        <v>154</v>
      </c>
      <c r="H49" s="237">
        <v>764</v>
      </c>
      <c r="I49" s="237">
        <v>1319</v>
      </c>
      <c r="J49" s="237">
        <v>355</v>
      </c>
      <c r="K49" s="237">
        <v>640</v>
      </c>
      <c r="L49" s="395"/>
      <c r="M49" s="395"/>
    </row>
    <row r="50" spans="1:13" s="125" customFormat="1" ht="12.95" customHeight="1">
      <c r="A50" s="55"/>
      <c r="B50" s="62"/>
      <c r="C50" s="62"/>
      <c r="D50" s="170">
        <v>2016</v>
      </c>
      <c r="E50" s="175">
        <f t="shared" ref="E50" si="10">SUM(F50:K50)</f>
        <v>3701</v>
      </c>
      <c r="F50" s="237">
        <v>750</v>
      </c>
      <c r="G50" s="237">
        <v>103</v>
      </c>
      <c r="H50" s="237">
        <v>578</v>
      </c>
      <c r="I50" s="237">
        <v>1211</v>
      </c>
      <c r="J50" s="237">
        <v>240</v>
      </c>
      <c r="K50" s="237">
        <v>819</v>
      </c>
      <c r="L50" s="395"/>
      <c r="M50" s="395"/>
    </row>
    <row r="51" spans="1:13" s="125" customFormat="1" ht="12.95" customHeight="1">
      <c r="B51" s="62"/>
      <c r="C51" s="62"/>
      <c r="D51" s="170">
        <v>2017</v>
      </c>
      <c r="E51" s="175">
        <f>SUM(F51:K51)</f>
        <v>3076</v>
      </c>
      <c r="F51" s="237">
        <v>616</v>
      </c>
      <c r="G51" s="237">
        <v>85</v>
      </c>
      <c r="H51" s="237">
        <v>425</v>
      </c>
      <c r="I51" s="237">
        <v>1225</v>
      </c>
      <c r="J51" s="237">
        <v>31</v>
      </c>
      <c r="K51" s="237">
        <v>694</v>
      </c>
      <c r="L51" s="395"/>
      <c r="M51" s="395"/>
    </row>
    <row r="52" spans="1:13" s="125" customFormat="1" ht="8.1" customHeight="1">
      <c r="B52" s="62"/>
      <c r="C52" s="62"/>
      <c r="D52" s="170"/>
      <c r="E52" s="175"/>
      <c r="F52" s="237"/>
      <c r="G52" s="237"/>
      <c r="H52" s="237"/>
      <c r="I52" s="237"/>
      <c r="J52" s="237"/>
      <c r="K52" s="237"/>
      <c r="L52" s="395"/>
      <c r="M52" s="395"/>
    </row>
    <row r="53" spans="1:13" s="125" customFormat="1" ht="12.95" customHeight="1">
      <c r="A53" s="55"/>
      <c r="B53" s="62" t="s">
        <v>115</v>
      </c>
      <c r="C53" s="62"/>
      <c r="D53" s="170">
        <v>2015</v>
      </c>
      <c r="E53" s="175">
        <f>SUM(F53:K53)</f>
        <v>387</v>
      </c>
      <c r="F53" s="237">
        <v>115</v>
      </c>
      <c r="G53" s="237">
        <v>6</v>
      </c>
      <c r="H53" s="237">
        <v>15</v>
      </c>
      <c r="I53" s="237">
        <v>151</v>
      </c>
      <c r="J53" s="237">
        <v>27</v>
      </c>
      <c r="K53" s="237">
        <v>73</v>
      </c>
      <c r="L53" s="395"/>
      <c r="M53" s="395"/>
    </row>
    <row r="54" spans="1:13" s="125" customFormat="1" ht="12.95" customHeight="1">
      <c r="A54" s="55"/>
      <c r="B54" s="62"/>
      <c r="C54" s="62"/>
      <c r="D54" s="170">
        <v>2016</v>
      </c>
      <c r="E54" s="175">
        <f t="shared" ref="E54" si="11">SUM(F54:K54)</f>
        <v>352</v>
      </c>
      <c r="F54" s="237">
        <v>95</v>
      </c>
      <c r="G54" s="237">
        <v>3</v>
      </c>
      <c r="H54" s="237">
        <v>10</v>
      </c>
      <c r="I54" s="237">
        <v>135</v>
      </c>
      <c r="J54" s="237">
        <v>30</v>
      </c>
      <c r="K54" s="237">
        <v>79</v>
      </c>
      <c r="L54" s="395"/>
      <c r="M54" s="395"/>
    </row>
    <row r="55" spans="1:13" s="125" customFormat="1" ht="12.95" customHeight="1">
      <c r="B55" s="62"/>
      <c r="C55" s="62"/>
      <c r="D55" s="170">
        <v>2017</v>
      </c>
      <c r="E55" s="175">
        <f>SUM(F55:K55)</f>
        <v>332</v>
      </c>
      <c r="F55" s="237">
        <v>104</v>
      </c>
      <c r="G55" s="237">
        <v>12</v>
      </c>
      <c r="H55" s="237">
        <v>12</v>
      </c>
      <c r="I55" s="237">
        <v>102</v>
      </c>
      <c r="J55" s="237">
        <v>15</v>
      </c>
      <c r="K55" s="237">
        <v>87</v>
      </c>
      <c r="L55" s="395"/>
      <c r="M55" s="395"/>
    </row>
    <row r="56" spans="1:13" s="125" customFormat="1" ht="8.1" customHeight="1">
      <c r="B56" s="62"/>
      <c r="C56" s="62"/>
      <c r="D56" s="170"/>
      <c r="E56" s="175"/>
      <c r="F56" s="237"/>
      <c r="G56" s="237"/>
      <c r="H56" s="237"/>
      <c r="I56" s="237"/>
      <c r="J56" s="237"/>
      <c r="K56" s="237"/>
      <c r="L56" s="395"/>
      <c r="M56" s="395"/>
    </row>
    <row r="57" spans="1:13" s="125" customFormat="1" ht="12.95" customHeight="1">
      <c r="A57" s="55"/>
      <c r="B57" s="62" t="s">
        <v>116</v>
      </c>
      <c r="C57" s="62"/>
      <c r="D57" s="170">
        <v>2015</v>
      </c>
      <c r="E57" s="175">
        <f>SUM(F57:K57)</f>
        <v>838</v>
      </c>
      <c r="F57" s="237">
        <v>214</v>
      </c>
      <c r="G57" s="237">
        <v>30</v>
      </c>
      <c r="H57" s="237">
        <v>59</v>
      </c>
      <c r="I57" s="237">
        <v>247</v>
      </c>
      <c r="J57" s="237">
        <v>8</v>
      </c>
      <c r="K57" s="237">
        <v>280</v>
      </c>
      <c r="L57" s="395"/>
      <c r="M57" s="395"/>
    </row>
    <row r="58" spans="1:13" s="125" customFormat="1" ht="12.95" customHeight="1">
      <c r="A58" s="55"/>
      <c r="B58" s="62"/>
      <c r="C58" s="62"/>
      <c r="D58" s="170">
        <v>2016</v>
      </c>
      <c r="E58" s="175">
        <f t="shared" ref="E58" si="12">SUM(F58:K58)</f>
        <v>915</v>
      </c>
      <c r="F58" s="237">
        <v>221</v>
      </c>
      <c r="G58" s="237">
        <v>36</v>
      </c>
      <c r="H58" s="237">
        <v>76</v>
      </c>
      <c r="I58" s="237">
        <v>195</v>
      </c>
      <c r="J58" s="237">
        <v>16</v>
      </c>
      <c r="K58" s="237">
        <v>371</v>
      </c>
      <c r="L58" s="395"/>
      <c r="M58" s="395"/>
    </row>
    <row r="59" spans="1:13" s="125" customFormat="1" ht="12.95" customHeight="1">
      <c r="B59" s="62"/>
      <c r="C59" s="62"/>
      <c r="D59" s="170">
        <v>2017</v>
      </c>
      <c r="E59" s="175">
        <f>SUM(F59:K59)</f>
        <v>598</v>
      </c>
      <c r="F59" s="237">
        <v>120</v>
      </c>
      <c r="G59" s="237">
        <v>14</v>
      </c>
      <c r="H59" s="237">
        <v>48</v>
      </c>
      <c r="I59" s="237">
        <v>170</v>
      </c>
      <c r="J59" s="371" t="s">
        <v>51</v>
      </c>
      <c r="K59" s="237">
        <v>246</v>
      </c>
      <c r="L59" s="395"/>
      <c r="M59" s="395"/>
    </row>
    <row r="60" spans="1:13" s="125" customFormat="1" ht="8.1" customHeight="1">
      <c r="B60" s="62"/>
      <c r="C60" s="62"/>
      <c r="D60" s="170"/>
      <c r="E60" s="175"/>
      <c r="F60" s="237"/>
      <c r="G60" s="237"/>
      <c r="H60" s="237"/>
      <c r="I60" s="237"/>
      <c r="J60" s="237"/>
      <c r="K60" s="237"/>
      <c r="L60" s="395"/>
      <c r="M60" s="395"/>
    </row>
    <row r="61" spans="1:13" s="125" customFormat="1" ht="12.95" customHeight="1">
      <c r="A61" s="55"/>
      <c r="B61" s="62" t="s">
        <v>117</v>
      </c>
      <c r="C61" s="62"/>
      <c r="D61" s="170">
        <v>2015</v>
      </c>
      <c r="E61" s="175">
        <f>SUM(F61:K61)</f>
        <v>1929</v>
      </c>
      <c r="F61" s="237">
        <v>384</v>
      </c>
      <c r="G61" s="237">
        <v>104</v>
      </c>
      <c r="H61" s="237">
        <v>507</v>
      </c>
      <c r="I61" s="237">
        <v>492</v>
      </c>
      <c r="J61" s="237">
        <v>41</v>
      </c>
      <c r="K61" s="237">
        <v>401</v>
      </c>
      <c r="L61" s="395"/>
      <c r="M61" s="395"/>
    </row>
    <row r="62" spans="1:13" s="125" customFormat="1" ht="12.95" customHeight="1">
      <c r="A62" s="55"/>
      <c r="B62" s="62"/>
      <c r="C62" s="62"/>
      <c r="D62" s="170">
        <v>2016</v>
      </c>
      <c r="E62" s="175">
        <f t="shared" ref="E62" si="13">SUM(F62:K62)</f>
        <v>2158</v>
      </c>
      <c r="F62" s="237">
        <v>515</v>
      </c>
      <c r="G62" s="237">
        <v>117</v>
      </c>
      <c r="H62" s="237">
        <v>404</v>
      </c>
      <c r="I62" s="237">
        <v>429</v>
      </c>
      <c r="J62" s="237">
        <v>141</v>
      </c>
      <c r="K62" s="237">
        <v>552</v>
      </c>
      <c r="L62" s="395"/>
      <c r="M62" s="395"/>
    </row>
    <row r="63" spans="1:13" s="125" customFormat="1" ht="12.95" customHeight="1">
      <c r="B63" s="62"/>
      <c r="C63" s="62"/>
      <c r="D63" s="170">
        <v>2017</v>
      </c>
      <c r="E63" s="175">
        <f>SUM(F63:K63)</f>
        <v>1372</v>
      </c>
      <c r="F63" s="237">
        <v>292</v>
      </c>
      <c r="G63" s="237">
        <v>49</v>
      </c>
      <c r="H63" s="237">
        <v>349</v>
      </c>
      <c r="I63" s="237">
        <v>366</v>
      </c>
      <c r="J63" s="237">
        <v>22</v>
      </c>
      <c r="K63" s="237">
        <v>294</v>
      </c>
      <c r="L63" s="395"/>
      <c r="M63" s="395"/>
    </row>
    <row r="64" spans="1:13" s="125" customFormat="1" ht="8.1" customHeight="1">
      <c r="B64" s="62"/>
      <c r="C64" s="62"/>
      <c r="D64" s="170"/>
      <c r="E64" s="175"/>
      <c r="F64" s="237"/>
      <c r="G64" s="237"/>
      <c r="H64" s="237"/>
      <c r="I64" s="237"/>
      <c r="J64" s="237"/>
      <c r="K64" s="237"/>
      <c r="L64" s="395"/>
      <c r="M64" s="395"/>
    </row>
    <row r="65" spans="1:12" s="92" customFormat="1" ht="12.95" customHeight="1">
      <c r="A65" s="125"/>
      <c r="B65" s="62" t="s">
        <v>118</v>
      </c>
      <c r="C65" s="62"/>
      <c r="D65" s="170">
        <v>2015</v>
      </c>
      <c r="E65" s="175">
        <f>SUM(F65:K65)</f>
        <v>1265</v>
      </c>
      <c r="F65" s="237">
        <v>332</v>
      </c>
      <c r="G65" s="237">
        <v>58</v>
      </c>
      <c r="H65" s="237">
        <v>110</v>
      </c>
      <c r="I65" s="237">
        <v>529</v>
      </c>
      <c r="J65" s="237">
        <v>39</v>
      </c>
      <c r="K65" s="237">
        <v>197</v>
      </c>
    </row>
    <row r="66" spans="1:12" s="92" customFormat="1" ht="12.95" customHeight="1">
      <c r="A66" s="124"/>
      <c r="B66" s="62"/>
      <c r="C66" s="62"/>
      <c r="D66" s="170">
        <v>2016</v>
      </c>
      <c r="E66" s="175">
        <f t="shared" ref="E66" si="14">SUM(F66:K66)</f>
        <v>1184</v>
      </c>
      <c r="F66" s="237">
        <v>256</v>
      </c>
      <c r="G66" s="237">
        <v>33</v>
      </c>
      <c r="H66" s="237">
        <v>105</v>
      </c>
      <c r="I66" s="237">
        <v>457</v>
      </c>
      <c r="J66" s="237">
        <v>40</v>
      </c>
      <c r="K66" s="237">
        <v>293</v>
      </c>
    </row>
    <row r="67" spans="1:12" s="125" customFormat="1" ht="12.95" customHeight="1">
      <c r="B67" s="62"/>
      <c r="C67" s="62"/>
      <c r="D67" s="170">
        <v>2017</v>
      </c>
      <c r="E67" s="175">
        <f>SUM(F67:K67)</f>
        <v>1013</v>
      </c>
      <c r="F67" s="237">
        <v>205</v>
      </c>
      <c r="G67" s="237">
        <v>39</v>
      </c>
      <c r="H67" s="237">
        <v>91</v>
      </c>
      <c r="I67" s="237">
        <v>398</v>
      </c>
      <c r="J67" s="237">
        <v>14</v>
      </c>
      <c r="K67" s="237">
        <v>266</v>
      </c>
    </row>
    <row r="68" spans="1:12" s="125" customFormat="1" ht="8.1" customHeight="1">
      <c r="B68" s="62"/>
      <c r="C68" s="62"/>
      <c r="D68" s="170"/>
      <c r="E68" s="175"/>
      <c r="F68" s="237"/>
      <c r="G68" s="237"/>
      <c r="H68" s="237"/>
      <c r="I68" s="237"/>
      <c r="J68" s="237"/>
      <c r="K68" s="237"/>
    </row>
    <row r="69" spans="1:12" s="55" customFormat="1" ht="12.95" customHeight="1">
      <c r="B69" s="62" t="s">
        <v>119</v>
      </c>
      <c r="C69" s="62"/>
      <c r="D69" s="170">
        <v>2015</v>
      </c>
      <c r="E69" s="175">
        <f>SUM(F69:K69)</f>
        <v>1805</v>
      </c>
      <c r="F69" s="371">
        <v>274</v>
      </c>
      <c r="G69" s="237">
        <v>120</v>
      </c>
      <c r="H69" s="237">
        <v>252</v>
      </c>
      <c r="I69" s="237">
        <v>954</v>
      </c>
      <c r="J69" s="237">
        <v>2</v>
      </c>
      <c r="K69" s="237">
        <v>203</v>
      </c>
    </row>
    <row r="70" spans="1:12" s="55" customFormat="1" ht="12.95" customHeight="1">
      <c r="B70" s="62"/>
      <c r="C70" s="62"/>
      <c r="D70" s="170">
        <v>2016</v>
      </c>
      <c r="E70" s="175">
        <f t="shared" ref="E70" si="15">SUM(F70:K70)</f>
        <v>1624</v>
      </c>
      <c r="F70" s="237">
        <v>166</v>
      </c>
      <c r="G70" s="237">
        <v>134</v>
      </c>
      <c r="H70" s="237">
        <v>258</v>
      </c>
      <c r="I70" s="237">
        <v>847</v>
      </c>
      <c r="J70" s="371" t="s">
        <v>51</v>
      </c>
      <c r="K70" s="237">
        <v>219</v>
      </c>
    </row>
    <row r="71" spans="1:12" s="55" customFormat="1" ht="12.95" customHeight="1">
      <c r="A71" s="125"/>
      <c r="B71" s="62"/>
      <c r="C71" s="62"/>
      <c r="D71" s="170">
        <v>2017</v>
      </c>
      <c r="E71" s="175">
        <f>SUM(F71:K71)</f>
        <v>1391</v>
      </c>
      <c r="F71" s="371">
        <v>92</v>
      </c>
      <c r="G71" s="237">
        <v>99</v>
      </c>
      <c r="H71" s="237">
        <v>184</v>
      </c>
      <c r="I71" s="237">
        <v>851</v>
      </c>
      <c r="J71" s="371" t="s">
        <v>51</v>
      </c>
      <c r="K71" s="237">
        <v>165</v>
      </c>
    </row>
    <row r="72" spans="1:12" s="55" customFormat="1" ht="8.1" customHeight="1">
      <c r="A72" s="125"/>
      <c r="B72" s="62"/>
      <c r="C72" s="62"/>
      <c r="D72" s="170"/>
      <c r="E72" s="175"/>
      <c r="F72" s="371"/>
      <c r="G72" s="237"/>
      <c r="H72" s="237"/>
      <c r="I72" s="237"/>
      <c r="J72" s="237"/>
      <c r="K72" s="237"/>
    </row>
    <row r="73" spans="1:12" s="55" customFormat="1" ht="12.95" customHeight="1">
      <c r="B73" s="62" t="s">
        <v>120</v>
      </c>
      <c r="C73" s="62"/>
      <c r="D73" s="170">
        <v>2015</v>
      </c>
      <c r="E73" s="175">
        <f>SUM(F73:K73)</f>
        <v>1843</v>
      </c>
      <c r="F73" s="237">
        <v>426</v>
      </c>
      <c r="G73" s="237">
        <v>134</v>
      </c>
      <c r="H73" s="237">
        <v>280</v>
      </c>
      <c r="I73" s="237">
        <v>479</v>
      </c>
      <c r="J73" s="237">
        <v>70</v>
      </c>
      <c r="K73" s="237">
        <v>454</v>
      </c>
    </row>
    <row r="74" spans="1:12" s="55" customFormat="1" ht="12.95" customHeight="1">
      <c r="B74" s="62"/>
      <c r="C74" s="62"/>
      <c r="D74" s="170">
        <v>2016</v>
      </c>
      <c r="E74" s="175">
        <f t="shared" ref="E74" si="16">SUM(F74:K74)</f>
        <v>1707</v>
      </c>
      <c r="F74" s="237">
        <v>439</v>
      </c>
      <c r="G74" s="237">
        <v>165</v>
      </c>
      <c r="H74" s="237">
        <v>205</v>
      </c>
      <c r="I74" s="237">
        <v>385</v>
      </c>
      <c r="J74" s="237">
        <v>57</v>
      </c>
      <c r="K74" s="237">
        <v>456</v>
      </c>
    </row>
    <row r="75" spans="1:12" s="55" customFormat="1" ht="12.95" customHeight="1">
      <c r="A75" s="92"/>
      <c r="B75" s="62"/>
      <c r="C75" s="62"/>
      <c r="D75" s="170">
        <v>2017</v>
      </c>
      <c r="E75" s="175">
        <f>SUM(F75:K75)</f>
        <v>1187</v>
      </c>
      <c r="F75" s="237">
        <v>289</v>
      </c>
      <c r="G75" s="237">
        <v>88</v>
      </c>
      <c r="H75" s="374">
        <v>149</v>
      </c>
      <c r="I75" s="237">
        <v>353</v>
      </c>
      <c r="J75" s="374">
        <v>22</v>
      </c>
      <c r="K75" s="374">
        <v>286</v>
      </c>
      <c r="L75" s="125"/>
    </row>
    <row r="76" spans="1:12" s="55" customFormat="1" ht="8.1" customHeight="1" thickBot="1">
      <c r="A76" s="396"/>
      <c r="B76" s="64"/>
      <c r="C76" s="64"/>
      <c r="D76" s="149"/>
      <c r="E76" s="65"/>
      <c r="F76" s="264"/>
      <c r="G76" s="264"/>
      <c r="H76" s="394"/>
      <c r="I76" s="264"/>
      <c r="J76" s="394"/>
      <c r="K76" s="394"/>
      <c r="L76" s="283"/>
    </row>
    <row r="77" spans="1:12">
      <c r="B77" s="346"/>
      <c r="C77" s="346"/>
      <c r="D77" s="346"/>
      <c r="E77" s="245"/>
      <c r="F77" s="246"/>
      <c r="G77" s="7"/>
      <c r="H77" s="7"/>
      <c r="I77" s="348"/>
      <c r="J77" s="247"/>
      <c r="K77" s="8" t="s">
        <v>104</v>
      </c>
    </row>
    <row r="78" spans="1:12">
      <c r="B78" s="7"/>
      <c r="C78" s="7"/>
      <c r="D78" s="7"/>
      <c r="E78" s="349"/>
      <c r="F78" s="347"/>
      <c r="G78" s="346"/>
      <c r="H78" s="346"/>
      <c r="I78" s="347"/>
      <c r="J78" s="246"/>
      <c r="K78" s="41" t="s">
        <v>1</v>
      </c>
    </row>
  </sheetData>
  <mergeCells count="6">
    <mergeCell ref="B10:C11"/>
    <mergeCell ref="E10:E11"/>
    <mergeCell ref="F10:F11"/>
    <mergeCell ref="G10:I10"/>
    <mergeCell ref="J10:J11"/>
    <mergeCell ref="K10:K11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79" fitToWidth="0" orientation="portrait" r:id="rId1"/>
  <headerFooter>
    <oddHeader xml:space="preserve">&amp;R&amp;"-,Bold"
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="80" zoomScaleNormal="80" zoomScaleSheetLayoutView="100" workbookViewId="0">
      <selection activeCell="AF36" sqref="AF36"/>
    </sheetView>
  </sheetViews>
  <sheetFormatPr defaultRowHeight="15"/>
  <cols>
    <col min="1" max="1" width="1.7109375" style="2" customWidth="1"/>
    <col min="2" max="2" width="10.140625" style="3" customWidth="1"/>
    <col min="3" max="3" width="8.5703125" style="3" customWidth="1"/>
    <col min="4" max="4" width="9.85546875" style="3" customWidth="1"/>
    <col min="5" max="5" width="10.5703125" style="4" customWidth="1"/>
    <col min="6" max="6" width="11.7109375" style="5" customWidth="1"/>
    <col min="7" max="7" width="11" style="5" customWidth="1"/>
    <col min="8" max="8" width="11.7109375" style="261" customWidth="1"/>
    <col min="9" max="9" width="12.28515625" style="5" customWidth="1"/>
    <col min="10" max="10" width="10.28515625" style="2" customWidth="1"/>
    <col min="11" max="11" width="11.7109375" style="2" customWidth="1"/>
    <col min="12" max="12" width="1.140625" style="2" customWidth="1"/>
    <col min="13" max="16384" width="9.140625" style="2"/>
  </cols>
  <sheetData>
    <row r="1" spans="1:12" s="30" customFormat="1" ht="12.95" customHeight="1">
      <c r="B1" s="27"/>
      <c r="C1" s="27"/>
      <c r="D1" s="29"/>
      <c r="E1" s="28"/>
      <c r="F1" s="29"/>
      <c r="J1" s="29"/>
      <c r="K1" s="199" t="s">
        <v>188</v>
      </c>
    </row>
    <row r="2" spans="1:12" s="30" customFormat="1" ht="12.95" customHeight="1">
      <c r="B2" s="27"/>
      <c r="C2" s="27"/>
      <c r="D2" s="29"/>
      <c r="E2" s="28"/>
      <c r="F2" s="29"/>
      <c r="J2" s="29"/>
      <c r="K2" s="75" t="s">
        <v>189</v>
      </c>
    </row>
    <row r="3" spans="1:12" s="30" customFormat="1" ht="12" customHeight="1">
      <c r="B3" s="27"/>
      <c r="C3" s="27"/>
      <c r="D3" s="29"/>
      <c r="E3" s="28"/>
      <c r="F3" s="29"/>
      <c r="G3" s="75"/>
      <c r="J3" s="29"/>
    </row>
    <row r="4" spans="1:12" s="30" customFormat="1" ht="12" customHeight="1">
      <c r="B4" s="27"/>
      <c r="C4" s="27"/>
      <c r="D4" s="29"/>
      <c r="E4" s="28"/>
      <c r="F4" s="29"/>
      <c r="G4" s="75"/>
      <c r="J4" s="29"/>
    </row>
    <row r="5" spans="1:12" s="55" customFormat="1" ht="9.9499999999999993" customHeight="1">
      <c r="B5" s="124"/>
      <c r="C5" s="124"/>
      <c r="D5" s="265"/>
      <c r="E5" s="266"/>
      <c r="F5" s="265"/>
      <c r="G5" s="265"/>
      <c r="H5" s="267"/>
      <c r="I5" s="265"/>
      <c r="J5" s="123"/>
    </row>
    <row r="6" spans="1:12" s="55" customFormat="1" ht="15" customHeight="1">
      <c r="B6" s="70" t="s">
        <v>234</v>
      </c>
      <c r="C6" s="71" t="s">
        <v>241</v>
      </c>
      <c r="D6" s="265"/>
      <c r="E6" s="266"/>
      <c r="F6" s="71"/>
      <c r="G6" s="71"/>
      <c r="H6" s="71"/>
      <c r="I6" s="71"/>
      <c r="J6" s="88"/>
      <c r="K6" s="71"/>
      <c r="L6" s="241"/>
    </row>
    <row r="7" spans="1:12" s="55" customFormat="1" ht="18" customHeight="1">
      <c r="B7" s="89" t="s">
        <v>236</v>
      </c>
      <c r="C7" s="95" t="s">
        <v>242</v>
      </c>
      <c r="D7" s="265"/>
      <c r="E7" s="266"/>
      <c r="F7" s="95"/>
      <c r="G7" s="95"/>
      <c r="H7" s="95"/>
      <c r="I7" s="95"/>
      <c r="J7" s="339"/>
      <c r="K7" s="95"/>
      <c r="L7" s="243"/>
    </row>
    <row r="8" spans="1:12" s="55" customFormat="1" ht="8.1" customHeight="1" thickBot="1">
      <c r="B8" s="282"/>
      <c r="C8" s="282"/>
      <c r="D8" s="311"/>
      <c r="E8" s="310"/>
      <c r="F8" s="311"/>
      <c r="G8" s="311"/>
      <c r="H8" s="312"/>
      <c r="I8" s="311"/>
      <c r="J8" s="172"/>
      <c r="K8" s="125"/>
    </row>
    <row r="9" spans="1:12" s="55" customFormat="1" ht="8.1" customHeight="1" thickTop="1">
      <c r="A9" s="268"/>
      <c r="B9" s="270"/>
      <c r="C9" s="270"/>
      <c r="D9" s="273"/>
      <c r="E9" s="313"/>
      <c r="F9" s="273"/>
      <c r="G9" s="273"/>
      <c r="H9" s="314"/>
      <c r="I9" s="273"/>
      <c r="J9" s="272"/>
      <c r="K9" s="268"/>
      <c r="L9" s="268"/>
    </row>
    <row r="10" spans="1:12" s="55" customFormat="1" ht="30.75" customHeight="1">
      <c r="A10" s="249"/>
      <c r="B10" s="315" t="s">
        <v>238</v>
      </c>
      <c r="C10" s="315"/>
      <c r="D10" s="350" t="s">
        <v>100</v>
      </c>
      <c r="E10" s="259" t="s">
        <v>95</v>
      </c>
      <c r="F10" s="259" t="s">
        <v>239</v>
      </c>
      <c r="G10" s="255" t="s">
        <v>218</v>
      </c>
      <c r="H10" s="255"/>
      <c r="I10" s="255"/>
      <c r="J10" s="256" t="s">
        <v>219</v>
      </c>
      <c r="K10" s="259" t="s">
        <v>220</v>
      </c>
      <c r="L10" s="249"/>
    </row>
    <row r="11" spans="1:12" s="111" customFormat="1" ht="55.5" customHeight="1">
      <c r="A11" s="257"/>
      <c r="B11" s="317"/>
      <c r="C11" s="317"/>
      <c r="D11" s="340"/>
      <c r="E11" s="318"/>
      <c r="F11" s="318"/>
      <c r="G11" s="319" t="s">
        <v>221</v>
      </c>
      <c r="H11" s="319" t="s">
        <v>222</v>
      </c>
      <c r="I11" s="319" t="s">
        <v>240</v>
      </c>
      <c r="J11" s="260"/>
      <c r="K11" s="318"/>
      <c r="L11" s="257"/>
    </row>
    <row r="12" spans="1:12" s="6" customFormat="1" ht="8.1" customHeight="1">
      <c r="A12" s="24"/>
      <c r="B12" s="377"/>
      <c r="C12" s="377"/>
      <c r="D12" s="390"/>
      <c r="E12" s="379"/>
      <c r="F12" s="380"/>
      <c r="G12" s="379"/>
      <c r="H12" s="379"/>
      <c r="I12" s="379"/>
      <c r="J12" s="380"/>
      <c r="K12" s="379"/>
    </row>
    <row r="13" spans="1:12" s="125" customFormat="1" ht="17.100000000000001" customHeight="1">
      <c r="A13" s="55"/>
      <c r="B13" s="68" t="s">
        <v>121</v>
      </c>
      <c r="C13" s="133"/>
      <c r="D13" s="69">
        <v>2015</v>
      </c>
      <c r="E13" s="174">
        <f>SUM(F13:K13)</f>
        <v>2282</v>
      </c>
      <c r="F13" s="233">
        <v>301</v>
      </c>
      <c r="G13" s="233">
        <v>30</v>
      </c>
      <c r="H13" s="233">
        <v>237</v>
      </c>
      <c r="I13" s="233">
        <v>1245</v>
      </c>
      <c r="J13" s="233">
        <v>21</v>
      </c>
      <c r="K13" s="233">
        <v>448</v>
      </c>
    </row>
    <row r="14" spans="1:12" s="125" customFormat="1" ht="17.100000000000001" customHeight="1">
      <c r="A14" s="55"/>
      <c r="B14" s="133"/>
      <c r="C14" s="133"/>
      <c r="D14" s="69">
        <v>2016</v>
      </c>
      <c r="E14" s="174">
        <f t="shared" ref="E14" si="0">SUM(F14:K14)</f>
        <v>2087</v>
      </c>
      <c r="F14" s="233">
        <v>452</v>
      </c>
      <c r="G14" s="233">
        <v>28</v>
      </c>
      <c r="H14" s="233">
        <v>203</v>
      </c>
      <c r="I14" s="233">
        <v>949</v>
      </c>
      <c r="J14" s="233">
        <v>8</v>
      </c>
      <c r="K14" s="233">
        <v>447</v>
      </c>
    </row>
    <row r="15" spans="1:12" s="125" customFormat="1" ht="17.100000000000001" customHeight="1">
      <c r="A15" s="55"/>
      <c r="B15" s="133"/>
      <c r="C15" s="133"/>
      <c r="D15" s="69">
        <v>2017</v>
      </c>
      <c r="E15" s="174">
        <f>SUM(F15:K15)</f>
        <v>1903</v>
      </c>
      <c r="F15" s="233">
        <f>F19+F23+F27+F31+F35+F39+F43</f>
        <v>456</v>
      </c>
      <c r="G15" s="233">
        <f>G19+G23+G27+G31+G35+G43</f>
        <v>22</v>
      </c>
      <c r="H15" s="233">
        <f t="shared" ref="H15:L15" si="1">H19+H23+H27+H31+H35+H39+H43</f>
        <v>146</v>
      </c>
      <c r="I15" s="233">
        <f t="shared" si="1"/>
        <v>914</v>
      </c>
      <c r="J15" s="373" t="s">
        <v>51</v>
      </c>
      <c r="K15" s="233">
        <f t="shared" si="1"/>
        <v>365</v>
      </c>
      <c r="L15" s="233">
        <f t="shared" si="1"/>
        <v>0</v>
      </c>
    </row>
    <row r="16" spans="1:12" s="125" customFormat="1" ht="15" customHeight="1">
      <c r="A16" s="55"/>
      <c r="B16" s="133"/>
      <c r="C16" s="133"/>
      <c r="D16" s="69"/>
      <c r="E16" s="174"/>
      <c r="F16" s="233"/>
      <c r="G16" s="233"/>
      <c r="H16" s="233"/>
      <c r="I16" s="233"/>
      <c r="J16" s="233"/>
      <c r="K16" s="233"/>
    </row>
    <row r="17" spans="1:11" s="125" customFormat="1" ht="17.100000000000001" customHeight="1">
      <c r="A17" s="55"/>
      <c r="B17" s="62" t="s">
        <v>122</v>
      </c>
      <c r="C17" s="91"/>
      <c r="D17" s="170">
        <v>2015</v>
      </c>
      <c r="E17" s="175">
        <f>SUM(F17:K17)</f>
        <v>373</v>
      </c>
      <c r="F17" s="237">
        <v>28</v>
      </c>
      <c r="G17" s="237">
        <v>7</v>
      </c>
      <c r="H17" s="237">
        <v>71</v>
      </c>
      <c r="I17" s="237">
        <v>230</v>
      </c>
      <c r="J17" s="371" t="s">
        <v>51</v>
      </c>
      <c r="K17" s="237">
        <v>37</v>
      </c>
    </row>
    <row r="18" spans="1:11" s="125" customFormat="1" ht="17.100000000000001" customHeight="1">
      <c r="B18" s="62"/>
      <c r="C18" s="91"/>
      <c r="D18" s="170">
        <v>2016</v>
      </c>
      <c r="E18" s="175">
        <f t="shared" ref="E18" si="2">SUM(F18:K18)</f>
        <v>411</v>
      </c>
      <c r="F18" s="237">
        <v>80</v>
      </c>
      <c r="G18" s="237">
        <v>3</v>
      </c>
      <c r="H18" s="237">
        <v>47</v>
      </c>
      <c r="I18" s="237">
        <v>223</v>
      </c>
      <c r="J18" s="237">
        <v>4</v>
      </c>
      <c r="K18" s="237">
        <v>54</v>
      </c>
    </row>
    <row r="19" spans="1:11" s="125" customFormat="1" ht="17.100000000000001" customHeight="1">
      <c r="B19" s="370"/>
      <c r="C19" s="62"/>
      <c r="D19" s="170">
        <v>2017</v>
      </c>
      <c r="E19" s="175">
        <f>SUM(F19:K19)</f>
        <v>396</v>
      </c>
      <c r="F19" s="237">
        <f>54+26</f>
        <v>80</v>
      </c>
      <c r="G19" s="237">
        <v>4</v>
      </c>
      <c r="H19" s="237">
        <v>50</v>
      </c>
      <c r="I19" s="237">
        <v>221</v>
      </c>
      <c r="J19" s="371" t="s">
        <v>51</v>
      </c>
      <c r="K19" s="237">
        <f>3+3+13+22</f>
        <v>41</v>
      </c>
    </row>
    <row r="20" spans="1:11" s="125" customFormat="1" ht="15" customHeight="1">
      <c r="B20" s="370"/>
      <c r="C20" s="62"/>
      <c r="D20" s="170"/>
      <c r="E20" s="175"/>
      <c r="F20" s="237"/>
      <c r="G20" s="237"/>
      <c r="H20" s="237"/>
      <c r="I20" s="237"/>
      <c r="J20" s="237"/>
      <c r="K20" s="237"/>
    </row>
    <row r="21" spans="1:11" s="125" customFormat="1" ht="17.100000000000001" customHeight="1">
      <c r="A21" s="55"/>
      <c r="B21" s="62" t="s">
        <v>123</v>
      </c>
      <c r="C21" s="91"/>
      <c r="D21" s="170">
        <v>2015</v>
      </c>
      <c r="E21" s="175">
        <f>SUM(F21:K21)</f>
        <v>323</v>
      </c>
      <c r="F21" s="371">
        <v>80</v>
      </c>
      <c r="G21" s="371" t="s">
        <v>51</v>
      </c>
      <c r="H21" s="237">
        <v>22</v>
      </c>
      <c r="I21" s="371">
        <v>146</v>
      </c>
      <c r="J21" s="371" t="s">
        <v>51</v>
      </c>
      <c r="K21" s="237">
        <v>75</v>
      </c>
    </row>
    <row r="22" spans="1:11" s="125" customFormat="1" ht="17.100000000000001" customHeight="1">
      <c r="B22" s="62"/>
      <c r="C22" s="91"/>
      <c r="D22" s="170">
        <v>2016</v>
      </c>
      <c r="E22" s="175">
        <f t="shared" ref="E22" si="3">SUM(F22:K22)</f>
        <v>295</v>
      </c>
      <c r="F22" s="237">
        <v>80</v>
      </c>
      <c r="G22" s="237">
        <v>6</v>
      </c>
      <c r="H22" s="237">
        <v>7</v>
      </c>
      <c r="I22" s="237">
        <v>126</v>
      </c>
      <c r="J22" s="371" t="s">
        <v>51</v>
      </c>
      <c r="K22" s="237">
        <v>76</v>
      </c>
    </row>
    <row r="23" spans="1:11" s="92" customFormat="1" ht="17.100000000000001" customHeight="1">
      <c r="A23" s="125"/>
      <c r="B23" s="370"/>
      <c r="C23" s="62"/>
      <c r="D23" s="170">
        <v>2017</v>
      </c>
      <c r="E23" s="175">
        <f>SUM(F23:K23)</f>
        <v>263</v>
      </c>
      <c r="F23" s="371">
        <f>63+6</f>
        <v>69</v>
      </c>
      <c r="G23" s="237">
        <v>3</v>
      </c>
      <c r="H23" s="237">
        <v>9</v>
      </c>
      <c r="I23" s="371">
        <v>121</v>
      </c>
      <c r="J23" s="371" t="s">
        <v>51</v>
      </c>
      <c r="K23" s="237">
        <f>3+4+33+3+18</f>
        <v>61</v>
      </c>
    </row>
    <row r="24" spans="1:11" s="92" customFormat="1" ht="15" customHeight="1">
      <c r="A24" s="125"/>
      <c r="B24" s="370"/>
      <c r="C24" s="62"/>
      <c r="D24" s="170"/>
      <c r="E24" s="175"/>
      <c r="F24" s="371"/>
      <c r="G24" s="237"/>
      <c r="H24" s="237"/>
      <c r="I24" s="371"/>
      <c r="J24" s="237"/>
      <c r="K24" s="237"/>
    </row>
    <row r="25" spans="1:11" s="125" customFormat="1" ht="17.100000000000001" customHeight="1">
      <c r="A25" s="55"/>
      <c r="B25" s="62" t="s">
        <v>124</v>
      </c>
      <c r="C25" s="91"/>
      <c r="D25" s="170">
        <v>2015</v>
      </c>
      <c r="E25" s="175">
        <f>SUM(F25:K25)</f>
        <v>127</v>
      </c>
      <c r="F25" s="237">
        <v>17</v>
      </c>
      <c r="G25" s="237">
        <v>1</v>
      </c>
      <c r="H25" s="237">
        <v>12</v>
      </c>
      <c r="I25" s="237">
        <v>70</v>
      </c>
      <c r="J25" s="237">
        <v>3</v>
      </c>
      <c r="K25" s="237">
        <v>24</v>
      </c>
    </row>
    <row r="26" spans="1:11" s="55" customFormat="1" ht="17.100000000000001" customHeight="1">
      <c r="B26" s="62"/>
      <c r="C26" s="91"/>
      <c r="D26" s="170">
        <v>2016</v>
      </c>
      <c r="E26" s="175">
        <f t="shared" ref="E26" si="4">SUM(F26:K26)</f>
        <v>129</v>
      </c>
      <c r="F26" s="237">
        <v>43</v>
      </c>
      <c r="G26" s="237">
        <v>2</v>
      </c>
      <c r="H26" s="237">
        <v>13</v>
      </c>
      <c r="I26" s="237">
        <v>48</v>
      </c>
      <c r="J26" s="371" t="s">
        <v>51</v>
      </c>
      <c r="K26" s="237">
        <v>23</v>
      </c>
    </row>
    <row r="27" spans="1:11" s="55" customFormat="1" ht="17.100000000000001" customHeight="1">
      <c r="A27" s="125"/>
      <c r="B27" s="370"/>
      <c r="C27" s="62"/>
      <c r="D27" s="170">
        <v>2017</v>
      </c>
      <c r="E27" s="175">
        <f>SUM(F27:K27)</f>
        <v>123</v>
      </c>
      <c r="F27" s="237">
        <f>37+8</f>
        <v>45</v>
      </c>
      <c r="G27" s="237">
        <v>5</v>
      </c>
      <c r="H27" s="237">
        <v>3</v>
      </c>
      <c r="I27" s="237">
        <v>46</v>
      </c>
      <c r="J27" s="371" t="s">
        <v>51</v>
      </c>
      <c r="K27" s="237">
        <f>1+4+6+13</f>
        <v>24</v>
      </c>
    </row>
    <row r="28" spans="1:11" s="55" customFormat="1" ht="15" customHeight="1">
      <c r="A28" s="125"/>
      <c r="B28" s="370"/>
      <c r="C28" s="62"/>
      <c r="D28" s="170"/>
      <c r="E28" s="175"/>
      <c r="F28" s="237"/>
      <c r="G28" s="237"/>
      <c r="H28" s="237"/>
      <c r="I28" s="237"/>
      <c r="J28" s="237"/>
      <c r="K28" s="237"/>
    </row>
    <row r="29" spans="1:11" s="55" customFormat="1" ht="17.100000000000001" customHeight="1">
      <c r="A29" s="124"/>
      <c r="B29" s="62" t="s">
        <v>125</v>
      </c>
      <c r="C29" s="91"/>
      <c r="D29" s="170">
        <v>2015</v>
      </c>
      <c r="E29" s="175">
        <f>SUM(F29:K29)</f>
        <v>398</v>
      </c>
      <c r="F29" s="237">
        <v>27</v>
      </c>
      <c r="G29" s="237">
        <v>5</v>
      </c>
      <c r="H29" s="237">
        <v>29</v>
      </c>
      <c r="I29" s="237">
        <v>255</v>
      </c>
      <c r="J29" s="237">
        <v>10</v>
      </c>
      <c r="K29" s="237">
        <v>72</v>
      </c>
    </row>
    <row r="30" spans="1:11" s="55" customFormat="1" ht="17.100000000000001" customHeight="1">
      <c r="B30" s="62"/>
      <c r="C30" s="91"/>
      <c r="D30" s="170">
        <v>2016</v>
      </c>
      <c r="E30" s="175">
        <f t="shared" ref="E30" si="5">SUM(F30:K30)</f>
        <v>357</v>
      </c>
      <c r="F30" s="237">
        <v>46</v>
      </c>
      <c r="G30" s="237">
        <v>7</v>
      </c>
      <c r="H30" s="237">
        <v>30</v>
      </c>
      <c r="I30" s="237">
        <v>179</v>
      </c>
      <c r="J30" s="371" t="s">
        <v>51</v>
      </c>
      <c r="K30" s="237">
        <v>95</v>
      </c>
    </row>
    <row r="31" spans="1:11" s="55" customFormat="1" ht="17.100000000000001" customHeight="1">
      <c r="A31" s="125"/>
      <c r="B31" s="370"/>
      <c r="C31" s="62"/>
      <c r="D31" s="170">
        <v>2017</v>
      </c>
      <c r="E31" s="175">
        <f>SUM(F31:K31)</f>
        <v>286</v>
      </c>
      <c r="F31" s="237">
        <f>42+3</f>
        <v>45</v>
      </c>
      <c r="G31" s="237">
        <v>2</v>
      </c>
      <c r="H31" s="237">
        <v>25</v>
      </c>
      <c r="I31" s="237">
        <v>165</v>
      </c>
      <c r="J31" s="371" t="s">
        <v>51</v>
      </c>
      <c r="K31" s="237">
        <f>4+1+12+7+25</f>
        <v>49</v>
      </c>
    </row>
    <row r="32" spans="1:11" s="55" customFormat="1" ht="15" customHeight="1">
      <c r="A32" s="125"/>
      <c r="B32" s="370"/>
      <c r="C32" s="62"/>
      <c r="D32" s="170"/>
      <c r="E32" s="175"/>
      <c r="F32" s="237"/>
      <c r="G32" s="237"/>
      <c r="H32" s="237"/>
      <c r="I32" s="237"/>
      <c r="J32" s="237"/>
      <c r="K32" s="237"/>
    </row>
    <row r="33" spans="1:14" s="55" customFormat="1" ht="17.100000000000001" customHeight="1">
      <c r="B33" s="62" t="s">
        <v>126</v>
      </c>
      <c r="C33" s="91"/>
      <c r="D33" s="170">
        <v>2015</v>
      </c>
      <c r="E33" s="175">
        <f>SUM(F33:K33)</f>
        <v>798</v>
      </c>
      <c r="F33" s="237">
        <v>110</v>
      </c>
      <c r="G33" s="237">
        <v>11</v>
      </c>
      <c r="H33" s="237">
        <v>81</v>
      </c>
      <c r="I33" s="237">
        <v>415</v>
      </c>
      <c r="J33" s="371" t="s">
        <v>51</v>
      </c>
      <c r="K33" s="237">
        <v>181</v>
      </c>
    </row>
    <row r="34" spans="1:14" s="55" customFormat="1" ht="17.100000000000001" customHeight="1">
      <c r="B34" s="62"/>
      <c r="C34" s="91"/>
      <c r="D34" s="170">
        <v>2016</v>
      </c>
      <c r="E34" s="175">
        <f t="shared" ref="E34" si="6">SUM(F34:K34)</f>
        <v>652</v>
      </c>
      <c r="F34" s="237">
        <v>154</v>
      </c>
      <c r="G34" s="237">
        <v>7</v>
      </c>
      <c r="H34" s="237">
        <v>80</v>
      </c>
      <c r="I34" s="237">
        <v>273</v>
      </c>
      <c r="J34" s="237">
        <v>3</v>
      </c>
      <c r="K34" s="237">
        <v>135</v>
      </c>
    </row>
    <row r="35" spans="1:14" s="55" customFormat="1" ht="17.100000000000001" customHeight="1">
      <c r="A35" s="125"/>
      <c r="B35" s="370"/>
      <c r="C35" s="62"/>
      <c r="D35" s="170">
        <v>2017</v>
      </c>
      <c r="E35" s="175">
        <f>SUM(F35:K35)</f>
        <v>604</v>
      </c>
      <c r="F35" s="237">
        <f>114+27</f>
        <v>141</v>
      </c>
      <c r="G35" s="237">
        <v>7</v>
      </c>
      <c r="H35" s="237">
        <v>45</v>
      </c>
      <c r="I35" s="237">
        <v>267</v>
      </c>
      <c r="J35" s="371" t="s">
        <v>51</v>
      </c>
      <c r="K35" s="237">
        <f>17+17+57+3+50</f>
        <v>144</v>
      </c>
    </row>
    <row r="36" spans="1:14" s="55" customFormat="1" ht="15" customHeight="1">
      <c r="A36" s="125"/>
      <c r="B36" s="370"/>
      <c r="C36" s="62"/>
      <c r="D36" s="170"/>
      <c r="E36" s="175"/>
      <c r="F36" s="237"/>
      <c r="G36" s="237"/>
      <c r="H36" s="237"/>
      <c r="I36" s="237"/>
      <c r="J36" s="237"/>
      <c r="K36" s="237"/>
    </row>
    <row r="37" spans="1:14" s="55" customFormat="1" ht="17.100000000000001" customHeight="1">
      <c r="B37" s="62" t="s">
        <v>127</v>
      </c>
      <c r="C37" s="91"/>
      <c r="D37" s="170">
        <v>2015</v>
      </c>
      <c r="E37" s="175">
        <f>SUM(F37:K37)</f>
        <v>171</v>
      </c>
      <c r="F37" s="237">
        <v>26</v>
      </c>
      <c r="G37" s="237">
        <v>3</v>
      </c>
      <c r="H37" s="237">
        <v>6</v>
      </c>
      <c r="I37" s="237">
        <v>89</v>
      </c>
      <c r="J37" s="237">
        <v>8</v>
      </c>
      <c r="K37" s="237">
        <v>39</v>
      </c>
    </row>
    <row r="38" spans="1:14" s="55" customFormat="1" ht="17.100000000000001" customHeight="1">
      <c r="B38" s="62"/>
      <c r="C38" s="91"/>
      <c r="D38" s="170">
        <v>2016</v>
      </c>
      <c r="E38" s="175">
        <f t="shared" ref="E38" si="7">SUM(F38:K38)</f>
        <v>148</v>
      </c>
      <c r="F38" s="237">
        <v>35</v>
      </c>
      <c r="G38" s="237">
        <v>1</v>
      </c>
      <c r="H38" s="237">
        <v>8</v>
      </c>
      <c r="I38" s="237">
        <v>59</v>
      </c>
      <c r="J38" s="237">
        <v>1</v>
      </c>
      <c r="K38" s="237">
        <v>44</v>
      </c>
    </row>
    <row r="39" spans="1:14" s="124" customFormat="1" ht="17.100000000000001" customHeight="1">
      <c r="A39" s="125"/>
      <c r="B39" s="370"/>
      <c r="C39" s="62"/>
      <c r="D39" s="170">
        <v>2017</v>
      </c>
      <c r="E39" s="175">
        <f>SUM(F39:K39)</f>
        <v>143</v>
      </c>
      <c r="F39" s="237">
        <f>54+6</f>
        <v>60</v>
      </c>
      <c r="G39" s="371" t="s">
        <v>51</v>
      </c>
      <c r="H39" s="237">
        <v>3</v>
      </c>
      <c r="I39" s="237">
        <v>54</v>
      </c>
      <c r="J39" s="371" t="s">
        <v>51</v>
      </c>
      <c r="K39" s="237">
        <f>8+1+7+10</f>
        <v>26</v>
      </c>
      <c r="L39" s="55"/>
      <c r="M39" s="55"/>
      <c r="N39" s="55"/>
    </row>
    <row r="40" spans="1:14" s="124" customFormat="1" ht="15" customHeight="1">
      <c r="A40" s="125"/>
      <c r="B40" s="370"/>
      <c r="C40" s="62"/>
      <c r="D40" s="170"/>
      <c r="E40" s="175"/>
      <c r="F40" s="237"/>
      <c r="G40" s="237"/>
      <c r="H40" s="237"/>
      <c r="I40" s="237"/>
      <c r="J40" s="237"/>
      <c r="K40" s="237"/>
      <c r="L40" s="55"/>
      <c r="M40" s="55"/>
      <c r="N40" s="55"/>
    </row>
    <row r="41" spans="1:14" s="55" customFormat="1" ht="17.100000000000001" customHeight="1">
      <c r="B41" s="62" t="s">
        <v>128</v>
      </c>
      <c r="C41" s="91"/>
      <c r="D41" s="170">
        <v>2015</v>
      </c>
      <c r="E41" s="175">
        <f>SUM(F41:K41)</f>
        <v>92</v>
      </c>
      <c r="F41" s="237">
        <v>13</v>
      </c>
      <c r="G41" s="237">
        <v>3</v>
      </c>
      <c r="H41" s="237">
        <v>16</v>
      </c>
      <c r="I41" s="237">
        <v>40</v>
      </c>
      <c r="J41" s="371" t="s">
        <v>51</v>
      </c>
      <c r="K41" s="237">
        <v>20</v>
      </c>
    </row>
    <row r="42" spans="1:14" s="55" customFormat="1" ht="17.100000000000001" customHeight="1">
      <c r="B42" s="62"/>
      <c r="C42" s="91"/>
      <c r="D42" s="170">
        <v>2016</v>
      </c>
      <c r="E42" s="175">
        <f t="shared" ref="E42" si="8">SUM(F42:K42)</f>
        <v>95</v>
      </c>
      <c r="F42" s="237">
        <v>14</v>
      </c>
      <c r="G42" s="237">
        <v>2</v>
      </c>
      <c r="H42" s="237">
        <v>18</v>
      </c>
      <c r="I42" s="237">
        <v>41</v>
      </c>
      <c r="J42" s="371" t="s">
        <v>51</v>
      </c>
      <c r="K42" s="237">
        <v>20</v>
      </c>
    </row>
    <row r="43" spans="1:14" s="55" customFormat="1" ht="17.100000000000001" customHeight="1">
      <c r="B43" s="370"/>
      <c r="C43" s="62"/>
      <c r="D43" s="170">
        <v>2017</v>
      </c>
      <c r="E43" s="175">
        <f>SUM(F43:K43)</f>
        <v>88</v>
      </c>
      <c r="F43" s="237">
        <f>14+2</f>
        <v>16</v>
      </c>
      <c r="G43" s="237">
        <v>1</v>
      </c>
      <c r="H43" s="237">
        <v>11</v>
      </c>
      <c r="I43" s="237">
        <v>40</v>
      </c>
      <c r="J43" s="371" t="s">
        <v>51</v>
      </c>
      <c r="K43" s="237">
        <f>1+8+11</f>
        <v>20</v>
      </c>
      <c r="L43" s="125"/>
    </row>
    <row r="44" spans="1:14" s="55" customFormat="1" ht="8.1" customHeight="1" thickBot="1">
      <c r="A44" s="283"/>
      <c r="B44" s="372"/>
      <c r="C44" s="64"/>
      <c r="D44" s="382"/>
      <c r="E44" s="264"/>
      <c r="F44" s="264"/>
      <c r="G44" s="264"/>
      <c r="H44" s="264"/>
      <c r="I44" s="264"/>
      <c r="J44" s="264"/>
      <c r="K44" s="264"/>
      <c r="L44" s="283"/>
    </row>
    <row r="45" spans="1:14" ht="21" customHeight="1">
      <c r="B45" s="346"/>
      <c r="C45" s="346"/>
      <c r="D45" s="346"/>
      <c r="E45" s="245"/>
      <c r="F45" s="246"/>
      <c r="G45" s="7"/>
      <c r="H45" s="7"/>
      <c r="I45" s="348"/>
      <c r="J45" s="247"/>
      <c r="K45" s="8" t="s">
        <v>104</v>
      </c>
    </row>
    <row r="46" spans="1:14">
      <c r="B46" s="7"/>
      <c r="C46" s="7"/>
      <c r="D46" s="7"/>
      <c r="E46" s="349"/>
      <c r="F46" s="347"/>
      <c r="G46" s="346"/>
      <c r="H46" s="346"/>
      <c r="I46" s="347"/>
      <c r="J46" s="246"/>
      <c r="K46" s="41" t="s">
        <v>1</v>
      </c>
    </row>
  </sheetData>
  <mergeCells count="6">
    <mergeCell ref="B10:C11"/>
    <mergeCell ref="E10:E11"/>
    <mergeCell ref="F10:F11"/>
    <mergeCell ref="G10:I10"/>
    <mergeCell ref="J10:J11"/>
    <mergeCell ref="K10:K11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5" fitToWidth="0" orientation="portrait" r:id="rId1"/>
  <headerFooter>
    <oddHeader xml:space="preserve">&amp;R&amp;"-,Bold"
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L42"/>
  <sheetViews>
    <sheetView showGridLines="0" zoomScale="80" zoomScaleNormal="80" zoomScaleSheetLayoutView="100" workbookViewId="0">
      <selection activeCell="AF36" sqref="AF36"/>
    </sheetView>
  </sheetViews>
  <sheetFormatPr defaultRowHeight="15"/>
  <cols>
    <col min="1" max="1" width="1.7109375" style="2" customWidth="1"/>
    <col min="2" max="2" width="10" style="3" customWidth="1"/>
    <col min="3" max="4" width="11" style="3" customWidth="1"/>
    <col min="5" max="5" width="10.140625" style="4" customWidth="1"/>
    <col min="6" max="7" width="10.5703125" style="5" customWidth="1"/>
    <col min="8" max="8" width="11.7109375" style="261" customWidth="1"/>
    <col min="9" max="9" width="12.28515625" style="5" customWidth="1"/>
    <col min="10" max="10" width="10.28515625" style="2" customWidth="1"/>
    <col min="11" max="11" width="11.140625" style="2" customWidth="1"/>
    <col min="12" max="12" width="1.5703125" style="2" customWidth="1"/>
    <col min="13" max="16384" width="9.140625" style="2"/>
  </cols>
  <sheetData>
    <row r="1" spans="1:12" s="30" customFormat="1" ht="12.95" customHeight="1">
      <c r="B1" s="27"/>
      <c r="C1" s="27"/>
      <c r="D1" s="29"/>
      <c r="E1" s="28"/>
      <c r="F1" s="29"/>
      <c r="J1" s="29"/>
      <c r="K1" s="199" t="s">
        <v>188</v>
      </c>
    </row>
    <row r="2" spans="1:12" s="30" customFormat="1" ht="12.95" customHeight="1">
      <c r="B2" s="27"/>
      <c r="C2" s="27"/>
      <c r="D2" s="29"/>
      <c r="E2" s="28"/>
      <c r="F2" s="29"/>
      <c r="J2" s="29"/>
      <c r="K2" s="75" t="s">
        <v>189</v>
      </c>
    </row>
    <row r="3" spans="1:12" s="30" customFormat="1" ht="12" customHeight="1">
      <c r="B3" s="27"/>
      <c r="C3" s="27"/>
      <c r="D3" s="29"/>
      <c r="E3" s="28"/>
      <c r="F3" s="29"/>
      <c r="G3" s="75"/>
      <c r="J3" s="29"/>
    </row>
    <row r="4" spans="1:12" s="30" customFormat="1" ht="12" customHeight="1">
      <c r="B4" s="27"/>
      <c r="C4" s="27"/>
      <c r="D4" s="29"/>
      <c r="E4" s="28"/>
      <c r="F4" s="29"/>
      <c r="G4" s="75"/>
      <c r="J4" s="29"/>
    </row>
    <row r="5" spans="1:12" s="55" customFormat="1" ht="9.9499999999999993" customHeight="1">
      <c r="B5" s="124"/>
      <c r="C5" s="124"/>
      <c r="D5" s="265"/>
      <c r="E5" s="266"/>
      <c r="F5" s="265"/>
      <c r="G5" s="265"/>
      <c r="H5" s="267"/>
      <c r="I5" s="265"/>
      <c r="J5" s="123"/>
    </row>
    <row r="6" spans="1:12" s="55" customFormat="1" ht="15" customHeight="1">
      <c r="B6" s="70" t="s">
        <v>234</v>
      </c>
      <c r="C6" s="71" t="s">
        <v>241</v>
      </c>
      <c r="D6" s="265"/>
      <c r="E6" s="266"/>
      <c r="F6" s="71"/>
      <c r="G6" s="71"/>
      <c r="H6" s="71"/>
      <c r="I6" s="71"/>
      <c r="J6" s="88"/>
      <c r="K6" s="71"/>
      <c r="L6" s="241"/>
    </row>
    <row r="7" spans="1:12" s="55" customFormat="1" ht="18" customHeight="1">
      <c r="B7" s="89" t="s">
        <v>236</v>
      </c>
      <c r="C7" s="95" t="s">
        <v>242</v>
      </c>
      <c r="D7" s="265"/>
      <c r="E7" s="266"/>
      <c r="F7" s="95"/>
      <c r="G7" s="95"/>
      <c r="H7" s="95"/>
      <c r="I7" s="95"/>
      <c r="J7" s="339"/>
      <c r="K7" s="95"/>
      <c r="L7" s="243"/>
    </row>
    <row r="8" spans="1:12" s="55" customFormat="1" ht="8.1" customHeight="1" thickBot="1">
      <c r="B8" s="282"/>
      <c r="C8" s="282"/>
      <c r="D8" s="311"/>
      <c r="E8" s="310"/>
      <c r="F8" s="311"/>
      <c r="G8" s="311"/>
      <c r="H8" s="312"/>
      <c r="I8" s="311"/>
      <c r="J8" s="172"/>
      <c r="K8" s="125"/>
    </row>
    <row r="9" spans="1:12" s="55" customFormat="1" ht="8.1" customHeight="1" thickTop="1">
      <c r="A9" s="268"/>
      <c r="B9" s="270"/>
      <c r="C9" s="270"/>
      <c r="D9" s="273"/>
      <c r="E9" s="313"/>
      <c r="F9" s="273"/>
      <c r="G9" s="273"/>
      <c r="H9" s="314"/>
      <c r="I9" s="273"/>
      <c r="J9" s="272"/>
      <c r="K9" s="268"/>
      <c r="L9" s="268"/>
    </row>
    <row r="10" spans="1:12" s="55" customFormat="1" ht="30.75" customHeight="1">
      <c r="A10" s="249"/>
      <c r="B10" s="315" t="s">
        <v>238</v>
      </c>
      <c r="C10" s="315"/>
      <c r="D10" s="350" t="s">
        <v>100</v>
      </c>
      <c r="E10" s="259" t="s">
        <v>95</v>
      </c>
      <c r="F10" s="259" t="s">
        <v>239</v>
      </c>
      <c r="G10" s="255" t="s">
        <v>218</v>
      </c>
      <c r="H10" s="255"/>
      <c r="I10" s="255"/>
      <c r="J10" s="256" t="s">
        <v>219</v>
      </c>
      <c r="K10" s="259" t="s">
        <v>220</v>
      </c>
      <c r="L10" s="249"/>
    </row>
    <row r="11" spans="1:12" s="111" customFormat="1" ht="69.75" customHeight="1">
      <c r="A11" s="257"/>
      <c r="B11" s="317"/>
      <c r="C11" s="317"/>
      <c r="D11" s="340"/>
      <c r="E11" s="318"/>
      <c r="F11" s="318"/>
      <c r="G11" s="319" t="s">
        <v>221</v>
      </c>
      <c r="H11" s="319" t="s">
        <v>222</v>
      </c>
      <c r="I11" s="319" t="s">
        <v>240</v>
      </c>
      <c r="J11" s="260"/>
      <c r="K11" s="318"/>
      <c r="L11" s="257"/>
    </row>
    <row r="12" spans="1:12" s="6" customFormat="1" ht="8.1" customHeight="1">
      <c r="A12" s="24"/>
      <c r="B12" s="377"/>
      <c r="C12" s="377"/>
      <c r="D12" s="390"/>
      <c r="E12" s="379"/>
      <c r="F12" s="380"/>
      <c r="G12" s="379"/>
      <c r="H12" s="379"/>
      <c r="I12" s="379"/>
      <c r="J12" s="380"/>
      <c r="K12" s="379"/>
    </row>
    <row r="13" spans="1:12" s="55" customFormat="1" ht="17.100000000000001" customHeight="1">
      <c r="B13" s="133" t="s">
        <v>183</v>
      </c>
      <c r="C13" s="133"/>
      <c r="D13" s="69">
        <v>2015</v>
      </c>
      <c r="E13" s="233">
        <f>SUM(F13:K13)</f>
        <v>12274</v>
      </c>
      <c r="F13" s="233">
        <v>1907</v>
      </c>
      <c r="G13" s="233">
        <v>524</v>
      </c>
      <c r="H13" s="233">
        <v>2229</v>
      </c>
      <c r="I13" s="233">
        <v>4015</v>
      </c>
      <c r="J13" s="233">
        <v>604</v>
      </c>
      <c r="K13" s="233">
        <v>2995</v>
      </c>
    </row>
    <row r="14" spans="1:12" s="55" customFormat="1" ht="17.100000000000001" customHeight="1">
      <c r="B14" s="133"/>
      <c r="C14" s="133"/>
      <c r="D14" s="69">
        <v>2016</v>
      </c>
      <c r="E14" s="233">
        <f t="shared" ref="E14" si="0">SUM(F14:K14)</f>
        <v>13213</v>
      </c>
      <c r="F14" s="233">
        <v>1867</v>
      </c>
      <c r="G14" s="233">
        <v>495</v>
      </c>
      <c r="H14" s="233">
        <v>2104</v>
      </c>
      <c r="I14" s="233">
        <v>3864</v>
      </c>
      <c r="J14" s="233">
        <v>1288</v>
      </c>
      <c r="K14" s="233">
        <v>3595</v>
      </c>
    </row>
    <row r="15" spans="1:12" s="55" customFormat="1" ht="16.5" customHeight="1">
      <c r="B15" s="133"/>
      <c r="C15" s="133"/>
      <c r="D15" s="69">
        <v>2017</v>
      </c>
      <c r="E15" s="233">
        <f>SUM(F15:K15)</f>
        <v>9483</v>
      </c>
      <c r="F15" s="233">
        <f>F19+F23+F27+F31+F35+F39</f>
        <v>1188</v>
      </c>
      <c r="G15" s="233">
        <f t="shared" ref="G15:K15" si="1">G19+G23+G27+G31+G35+G39</f>
        <v>291</v>
      </c>
      <c r="H15" s="233">
        <f t="shared" si="1"/>
        <v>1548</v>
      </c>
      <c r="I15" s="233">
        <f t="shared" si="1"/>
        <v>3328</v>
      </c>
      <c r="J15" s="233">
        <f>J27+J35</f>
        <v>7</v>
      </c>
      <c r="K15" s="233">
        <f t="shared" si="1"/>
        <v>3121</v>
      </c>
    </row>
    <row r="16" spans="1:12" s="55" customFormat="1" ht="15" customHeight="1">
      <c r="B16" s="133"/>
      <c r="C16" s="133"/>
      <c r="D16" s="69"/>
      <c r="E16" s="233"/>
      <c r="F16" s="233"/>
      <c r="G16" s="233"/>
      <c r="H16" s="233"/>
      <c r="I16" s="233"/>
      <c r="J16" s="233"/>
      <c r="K16" s="233"/>
    </row>
    <row r="17" spans="1:11" s="111" customFormat="1" ht="17.100000000000001" customHeight="1">
      <c r="A17" s="55"/>
      <c r="B17" s="62" t="s">
        <v>81</v>
      </c>
      <c r="C17" s="91"/>
      <c r="D17" s="170">
        <v>2015</v>
      </c>
      <c r="E17" s="237">
        <f>SUM(F17:K17)</f>
        <v>2306</v>
      </c>
      <c r="F17" s="237">
        <v>573</v>
      </c>
      <c r="G17" s="237">
        <v>86</v>
      </c>
      <c r="H17" s="237">
        <v>413</v>
      </c>
      <c r="I17" s="237">
        <v>576</v>
      </c>
      <c r="J17" s="237">
        <v>156</v>
      </c>
      <c r="K17" s="237">
        <v>502</v>
      </c>
    </row>
    <row r="18" spans="1:11" s="111" customFormat="1" ht="17.100000000000001" customHeight="1">
      <c r="A18" s="92"/>
      <c r="B18" s="62"/>
      <c r="C18" s="91"/>
      <c r="D18" s="170">
        <v>2016</v>
      </c>
      <c r="E18" s="237">
        <f t="shared" ref="E18" si="2">SUM(F18:K18)</f>
        <v>2145</v>
      </c>
      <c r="F18" s="237">
        <v>431</v>
      </c>
      <c r="G18" s="237">
        <v>90</v>
      </c>
      <c r="H18" s="237">
        <v>334</v>
      </c>
      <c r="I18" s="237">
        <v>520</v>
      </c>
      <c r="J18" s="237">
        <v>330</v>
      </c>
      <c r="K18" s="237">
        <v>440</v>
      </c>
    </row>
    <row r="19" spans="1:11" s="111" customFormat="1" ht="17.100000000000001" customHeight="1">
      <c r="B19" s="370"/>
      <c r="C19" s="62"/>
      <c r="D19" s="170">
        <v>2017</v>
      </c>
      <c r="E19" s="237">
        <f>SUM(F19:K19)</f>
        <v>1441</v>
      </c>
      <c r="F19" s="237">
        <f>165+126</f>
        <v>291</v>
      </c>
      <c r="G19" s="237">
        <f>2+46</f>
        <v>48</v>
      </c>
      <c r="H19" s="237">
        <v>273</v>
      </c>
      <c r="I19" s="237">
        <v>453</v>
      </c>
      <c r="J19" s="371" t="s">
        <v>51</v>
      </c>
      <c r="K19" s="237">
        <v>376</v>
      </c>
    </row>
    <row r="20" spans="1:11" s="111" customFormat="1" ht="15" customHeight="1">
      <c r="B20" s="370"/>
      <c r="C20" s="62"/>
      <c r="D20" s="170"/>
      <c r="E20" s="237"/>
      <c r="F20" s="237"/>
      <c r="G20" s="237"/>
      <c r="H20" s="237"/>
      <c r="I20" s="237"/>
      <c r="J20" s="237"/>
      <c r="K20" s="237"/>
    </row>
    <row r="21" spans="1:11" s="111" customFormat="1" ht="17.100000000000001" customHeight="1">
      <c r="A21" s="55"/>
      <c r="B21" s="62" t="s">
        <v>82</v>
      </c>
      <c r="C21" s="91"/>
      <c r="D21" s="170">
        <v>2015</v>
      </c>
      <c r="E21" s="237">
        <f>SUM(F21:K21)</f>
        <v>2127</v>
      </c>
      <c r="F21" s="237">
        <v>352</v>
      </c>
      <c r="G21" s="237">
        <v>114</v>
      </c>
      <c r="H21" s="237">
        <v>482</v>
      </c>
      <c r="I21" s="237">
        <v>753</v>
      </c>
      <c r="J21" s="237">
        <v>47</v>
      </c>
      <c r="K21" s="237">
        <v>379</v>
      </c>
    </row>
    <row r="22" spans="1:11" s="125" customFormat="1" ht="17.100000000000001" customHeight="1">
      <c r="A22" s="55"/>
      <c r="B22" s="62"/>
      <c r="C22" s="91"/>
      <c r="D22" s="170">
        <v>2016</v>
      </c>
      <c r="E22" s="237">
        <f t="shared" ref="E22" si="3">SUM(F22:K22)</f>
        <v>2035</v>
      </c>
      <c r="F22" s="237">
        <v>333</v>
      </c>
      <c r="G22" s="237">
        <v>130</v>
      </c>
      <c r="H22" s="237">
        <v>490</v>
      </c>
      <c r="I22" s="237">
        <v>742</v>
      </c>
      <c r="J22" s="237">
        <v>51</v>
      </c>
      <c r="K22" s="237">
        <v>289</v>
      </c>
    </row>
    <row r="23" spans="1:11" s="92" customFormat="1" ht="17.100000000000001" customHeight="1">
      <c r="A23" s="111"/>
      <c r="B23" s="370"/>
      <c r="C23" s="62"/>
      <c r="D23" s="170">
        <v>2017</v>
      </c>
      <c r="E23" s="237">
        <f>SUM(F23:K23)</f>
        <v>1470</v>
      </c>
      <c r="F23" s="237">
        <f>73+77</f>
        <v>150</v>
      </c>
      <c r="G23" s="237">
        <f>3+61</f>
        <v>64</v>
      </c>
      <c r="H23" s="237">
        <v>316</v>
      </c>
      <c r="I23" s="237">
        <v>661</v>
      </c>
      <c r="J23" s="371" t="s">
        <v>51</v>
      </c>
      <c r="K23" s="237">
        <f>22+57+107+4+84+5</f>
        <v>279</v>
      </c>
    </row>
    <row r="24" spans="1:11" s="92" customFormat="1" ht="15" customHeight="1">
      <c r="A24" s="111"/>
      <c r="B24" s="370"/>
      <c r="C24" s="62"/>
      <c r="D24" s="170"/>
      <c r="E24" s="237"/>
      <c r="F24" s="237"/>
      <c r="G24" s="237"/>
      <c r="H24" s="237"/>
      <c r="I24" s="237"/>
      <c r="J24" s="237"/>
      <c r="K24" s="237"/>
    </row>
    <row r="25" spans="1:11" s="55" customFormat="1" ht="17.100000000000001" customHeight="1">
      <c r="B25" s="62" t="s">
        <v>83</v>
      </c>
      <c r="C25" s="91"/>
      <c r="D25" s="170">
        <v>2015</v>
      </c>
      <c r="E25" s="237">
        <f>SUM(F25:K25)</f>
        <v>2599</v>
      </c>
      <c r="F25" s="237">
        <v>167</v>
      </c>
      <c r="G25" s="237">
        <v>29</v>
      </c>
      <c r="H25" s="237">
        <v>167</v>
      </c>
      <c r="I25" s="237">
        <v>627</v>
      </c>
      <c r="J25" s="237">
        <v>298</v>
      </c>
      <c r="K25" s="237">
        <v>1311</v>
      </c>
    </row>
    <row r="26" spans="1:11" s="55" customFormat="1" ht="17.100000000000001" customHeight="1">
      <c r="B26" s="62"/>
      <c r="C26" s="91"/>
      <c r="D26" s="170">
        <v>2016</v>
      </c>
      <c r="E26" s="237">
        <f t="shared" ref="E26" si="4">SUM(F26:K26)</f>
        <v>3311</v>
      </c>
      <c r="F26" s="237">
        <v>202</v>
      </c>
      <c r="G26" s="237">
        <v>27</v>
      </c>
      <c r="H26" s="237">
        <v>182</v>
      </c>
      <c r="I26" s="237">
        <v>637</v>
      </c>
      <c r="J26" s="237">
        <v>663</v>
      </c>
      <c r="K26" s="237">
        <v>1600</v>
      </c>
    </row>
    <row r="27" spans="1:11" s="55" customFormat="1" ht="17.100000000000001" customHeight="1">
      <c r="A27" s="111"/>
      <c r="B27" s="370"/>
      <c r="C27" s="62"/>
      <c r="D27" s="170">
        <v>2017</v>
      </c>
      <c r="E27" s="237">
        <f>SUM(F27:K27)</f>
        <v>2254</v>
      </c>
      <c r="F27" s="237">
        <v>134</v>
      </c>
      <c r="G27" s="237">
        <v>15</v>
      </c>
      <c r="H27" s="237">
        <v>126</v>
      </c>
      <c r="I27" s="237">
        <v>525</v>
      </c>
      <c r="J27" s="237">
        <v>6</v>
      </c>
      <c r="K27" s="237">
        <f>237+83+571+5+397+155</f>
        <v>1448</v>
      </c>
    </row>
    <row r="28" spans="1:11" s="55" customFormat="1" ht="15" customHeight="1">
      <c r="A28" s="111"/>
      <c r="B28" s="370"/>
      <c r="C28" s="62"/>
      <c r="D28" s="170"/>
      <c r="E28" s="237"/>
      <c r="F28" s="237"/>
      <c r="G28" s="237"/>
      <c r="H28" s="237"/>
      <c r="I28" s="237"/>
      <c r="J28" s="237"/>
      <c r="K28" s="237"/>
    </row>
    <row r="29" spans="1:11" s="55" customFormat="1" ht="17.100000000000001" customHeight="1">
      <c r="B29" s="62" t="s">
        <v>84</v>
      </c>
      <c r="C29" s="91"/>
      <c r="D29" s="170">
        <v>2015</v>
      </c>
      <c r="E29" s="237">
        <f>SUM(F29:K29)</f>
        <v>2778</v>
      </c>
      <c r="F29" s="237">
        <v>357</v>
      </c>
      <c r="G29" s="237">
        <v>240</v>
      </c>
      <c r="H29" s="237">
        <v>734</v>
      </c>
      <c r="I29" s="237">
        <v>999</v>
      </c>
      <c r="J29" s="237">
        <v>23</v>
      </c>
      <c r="K29" s="237">
        <v>425</v>
      </c>
    </row>
    <row r="30" spans="1:11" s="55" customFormat="1" ht="17.100000000000001" customHeight="1">
      <c r="B30" s="62"/>
      <c r="C30" s="91"/>
      <c r="D30" s="170">
        <v>2016</v>
      </c>
      <c r="E30" s="237">
        <f t="shared" ref="E30" si="5">SUM(F30:K30)</f>
        <v>2697</v>
      </c>
      <c r="F30" s="237">
        <v>373</v>
      </c>
      <c r="G30" s="237">
        <v>203</v>
      </c>
      <c r="H30" s="237">
        <v>678</v>
      </c>
      <c r="I30" s="237">
        <v>883</v>
      </c>
      <c r="J30" s="237">
        <v>60</v>
      </c>
      <c r="K30" s="237">
        <v>500</v>
      </c>
    </row>
    <row r="31" spans="1:11" s="55" customFormat="1" ht="17.100000000000001" customHeight="1">
      <c r="A31" s="111"/>
      <c r="B31" s="370"/>
      <c r="C31" s="62"/>
      <c r="D31" s="170">
        <v>2017</v>
      </c>
      <c r="E31" s="237">
        <f>SUM(F31:K31)</f>
        <v>2063</v>
      </c>
      <c r="F31" s="237">
        <f>172+111</f>
        <v>283</v>
      </c>
      <c r="G31" s="237">
        <f>3+118</f>
        <v>121</v>
      </c>
      <c r="H31" s="237">
        <v>506</v>
      </c>
      <c r="I31" s="237">
        <v>704</v>
      </c>
      <c r="J31" s="371" t="s">
        <v>51</v>
      </c>
      <c r="K31" s="237">
        <v>449</v>
      </c>
    </row>
    <row r="32" spans="1:11" s="55" customFormat="1" ht="15" customHeight="1">
      <c r="A32" s="111"/>
      <c r="B32" s="370"/>
      <c r="C32" s="62"/>
      <c r="D32" s="170"/>
      <c r="E32" s="237"/>
      <c r="F32" s="237"/>
      <c r="G32" s="237"/>
      <c r="H32" s="237"/>
      <c r="I32" s="237"/>
      <c r="J32" s="237"/>
      <c r="K32" s="237"/>
    </row>
    <row r="33" spans="1:12" s="55" customFormat="1" ht="17.100000000000001" customHeight="1">
      <c r="B33" s="62" t="s">
        <v>85</v>
      </c>
      <c r="C33" s="91"/>
      <c r="D33" s="170">
        <v>2015</v>
      </c>
      <c r="E33" s="237">
        <f>SUM(F33:K33)</f>
        <v>2228</v>
      </c>
      <c r="F33" s="237">
        <v>408</v>
      </c>
      <c r="G33" s="237">
        <v>54</v>
      </c>
      <c r="H33" s="237">
        <v>416</v>
      </c>
      <c r="I33" s="237">
        <v>950</v>
      </c>
      <c r="J33" s="237">
        <v>80</v>
      </c>
      <c r="K33" s="237">
        <v>320</v>
      </c>
    </row>
    <row r="34" spans="1:12" s="55" customFormat="1" ht="17.100000000000001" customHeight="1">
      <c r="B34" s="62"/>
      <c r="C34" s="91"/>
      <c r="D34" s="170">
        <v>2016</v>
      </c>
      <c r="E34" s="237">
        <f t="shared" ref="E34" si="6">SUM(F34:K34)</f>
        <v>2762</v>
      </c>
      <c r="F34" s="237">
        <v>481</v>
      </c>
      <c r="G34" s="237">
        <v>42</v>
      </c>
      <c r="H34" s="237">
        <v>394</v>
      </c>
      <c r="I34" s="237">
        <v>1000</v>
      </c>
      <c r="J34" s="237">
        <v>178</v>
      </c>
      <c r="K34" s="237">
        <v>667</v>
      </c>
    </row>
    <row r="35" spans="1:12" s="55" customFormat="1" ht="17.100000000000001" customHeight="1">
      <c r="A35" s="111"/>
      <c r="B35" s="370"/>
      <c r="C35" s="62"/>
      <c r="D35" s="170">
        <v>2017</v>
      </c>
      <c r="E35" s="237">
        <f>SUM(F35:K35)</f>
        <v>2019</v>
      </c>
      <c r="F35" s="237">
        <f>174+107</f>
        <v>281</v>
      </c>
      <c r="G35" s="237">
        <f>2+39</f>
        <v>41</v>
      </c>
      <c r="H35" s="237">
        <v>321</v>
      </c>
      <c r="I35" s="237">
        <v>894</v>
      </c>
      <c r="J35" s="237">
        <v>1</v>
      </c>
      <c r="K35" s="237">
        <f>2+53+114+193+1+110+8</f>
        <v>481</v>
      </c>
    </row>
    <row r="36" spans="1:12" s="55" customFormat="1" ht="15" customHeight="1">
      <c r="A36" s="111"/>
      <c r="B36" s="370"/>
      <c r="C36" s="62"/>
      <c r="D36" s="170"/>
      <c r="E36" s="237"/>
      <c r="F36" s="237"/>
      <c r="G36" s="237"/>
      <c r="H36" s="237"/>
      <c r="I36" s="237"/>
      <c r="J36" s="237"/>
      <c r="K36" s="237"/>
    </row>
    <row r="37" spans="1:12" s="55" customFormat="1" ht="17.100000000000001" customHeight="1">
      <c r="A37" s="124"/>
      <c r="B37" s="62" t="s">
        <v>86</v>
      </c>
      <c r="C37" s="91"/>
      <c r="D37" s="170">
        <v>2015</v>
      </c>
      <c r="E37" s="237">
        <f>SUM(F37:K37)</f>
        <v>236</v>
      </c>
      <c r="F37" s="237">
        <v>50</v>
      </c>
      <c r="G37" s="237">
        <v>1</v>
      </c>
      <c r="H37" s="237">
        <v>17</v>
      </c>
      <c r="I37" s="237">
        <v>110</v>
      </c>
      <c r="J37" s="371" t="s">
        <v>51</v>
      </c>
      <c r="K37" s="237">
        <v>58</v>
      </c>
    </row>
    <row r="38" spans="1:12" s="55" customFormat="1" ht="17.100000000000001" customHeight="1">
      <c r="B38" s="62"/>
      <c r="C38" s="91"/>
      <c r="D38" s="170">
        <v>2016</v>
      </c>
      <c r="E38" s="237">
        <f t="shared" ref="E38" si="7">SUM(F38:K38)</f>
        <v>263</v>
      </c>
      <c r="F38" s="237">
        <v>47</v>
      </c>
      <c r="G38" s="237">
        <v>3</v>
      </c>
      <c r="H38" s="237">
        <v>26</v>
      </c>
      <c r="I38" s="237">
        <v>82</v>
      </c>
      <c r="J38" s="237">
        <v>6</v>
      </c>
      <c r="K38" s="237">
        <v>99</v>
      </c>
    </row>
    <row r="39" spans="1:12" s="124" customFormat="1" ht="17.100000000000001" customHeight="1">
      <c r="A39" s="115"/>
      <c r="B39" s="370"/>
      <c r="C39" s="62"/>
      <c r="D39" s="170">
        <v>2017</v>
      </c>
      <c r="E39" s="237">
        <f>SUM(F39:K39)</f>
        <v>236</v>
      </c>
      <c r="F39" s="237">
        <f>22+27</f>
        <v>49</v>
      </c>
      <c r="G39" s="237">
        <v>2</v>
      </c>
      <c r="H39" s="237">
        <v>6</v>
      </c>
      <c r="I39" s="237">
        <v>91</v>
      </c>
      <c r="J39" s="371" t="s">
        <v>51</v>
      </c>
      <c r="K39" s="237">
        <f>1+2+9+46+30</f>
        <v>88</v>
      </c>
      <c r="L39" s="282"/>
    </row>
    <row r="40" spans="1:12" s="3" customFormat="1" ht="15" customHeight="1" thickBot="1">
      <c r="A40" s="109"/>
      <c r="B40" s="391"/>
      <c r="C40" s="16"/>
      <c r="D40" s="213"/>
      <c r="E40" s="239"/>
      <c r="F40" s="239"/>
      <c r="G40" s="239"/>
      <c r="H40" s="239"/>
      <c r="I40" s="239"/>
      <c r="J40" s="239"/>
      <c r="K40" s="239"/>
      <c r="L40" s="78"/>
    </row>
    <row r="41" spans="1:12">
      <c r="B41" s="244"/>
      <c r="C41" s="244"/>
      <c r="D41" s="244"/>
      <c r="E41" s="245"/>
      <c r="F41" s="246"/>
      <c r="G41" s="348"/>
      <c r="H41" s="247"/>
      <c r="I41" s="7"/>
      <c r="J41" s="7"/>
      <c r="K41" s="8" t="s">
        <v>104</v>
      </c>
    </row>
    <row r="42" spans="1:12">
      <c r="B42" s="346"/>
      <c r="C42" s="346"/>
      <c r="D42" s="346"/>
      <c r="E42" s="349"/>
      <c r="F42" s="347"/>
      <c r="G42" s="347"/>
      <c r="H42" s="246"/>
      <c r="I42" s="346"/>
      <c r="J42" s="346"/>
      <c r="K42" s="41" t="s">
        <v>1</v>
      </c>
    </row>
  </sheetData>
  <mergeCells count="6">
    <mergeCell ref="B10:C11"/>
    <mergeCell ref="E10:E11"/>
    <mergeCell ref="F10:F11"/>
    <mergeCell ref="G10:I10"/>
    <mergeCell ref="J10:J11"/>
    <mergeCell ref="K10:K11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5" fitToWidth="0" orientation="portrait" r:id="rId1"/>
  <headerFooter>
    <oddHeader xml:space="preserve">&amp;R&amp;"-,Bold"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69"/>
  <sheetViews>
    <sheetView showGridLines="0" topLeftCell="A4" zoomScale="90" zoomScaleNormal="90" zoomScaleSheetLayoutView="100" workbookViewId="0">
      <selection activeCell="P43" sqref="P43"/>
    </sheetView>
  </sheetViews>
  <sheetFormatPr defaultColWidth="9.140625" defaultRowHeight="15"/>
  <cols>
    <col min="1" max="1" width="1.7109375" style="2" customWidth="1"/>
    <col min="2" max="2" width="10.85546875" style="3" customWidth="1"/>
    <col min="3" max="3" width="12" style="3" customWidth="1"/>
    <col min="4" max="4" width="10.85546875" style="3" customWidth="1"/>
    <col min="5" max="5" width="15.7109375" style="21" customWidth="1"/>
    <col min="6" max="6" width="23.7109375" style="22" customWidth="1"/>
    <col min="7" max="7" width="23.7109375" style="182" customWidth="1"/>
    <col min="8" max="8" width="0.85546875" style="2" customWidth="1"/>
    <col min="9" max="16384" width="9.140625" style="2"/>
  </cols>
  <sheetData>
    <row r="1" spans="1:8" s="30" customFormat="1" ht="12" customHeight="1">
      <c r="B1" s="27"/>
      <c r="C1" s="27"/>
      <c r="D1" s="27"/>
      <c r="E1" s="28"/>
      <c r="F1" s="29"/>
      <c r="G1" s="179" t="s">
        <v>188</v>
      </c>
    </row>
    <row r="2" spans="1:8" s="30" customFormat="1" ht="12" customHeight="1">
      <c r="B2" s="27"/>
      <c r="C2" s="27"/>
      <c r="D2" s="27"/>
      <c r="E2" s="28"/>
      <c r="F2" s="29"/>
      <c r="G2" s="180" t="s">
        <v>189</v>
      </c>
    </row>
    <row r="3" spans="1:8" s="30" customFormat="1" ht="12" customHeight="1">
      <c r="B3" s="27"/>
      <c r="C3" s="27"/>
      <c r="D3" s="27"/>
      <c r="E3" s="28"/>
      <c r="F3" s="29"/>
      <c r="G3" s="180"/>
    </row>
    <row r="4" spans="1:8" s="30" customFormat="1" ht="12" customHeight="1">
      <c r="B4" s="27"/>
      <c r="C4" s="27"/>
      <c r="D4" s="27"/>
      <c r="E4" s="28"/>
      <c r="F4" s="29"/>
      <c r="G4" s="180"/>
    </row>
    <row r="5" spans="1:8" s="55" customFormat="1" ht="15" customHeight="1">
      <c r="B5" s="88" t="s">
        <v>92</v>
      </c>
      <c r="C5" s="71" t="s">
        <v>179</v>
      </c>
      <c r="D5" s="71"/>
      <c r="E5" s="70"/>
      <c r="F5" s="71"/>
      <c r="G5" s="181"/>
      <c r="H5" s="71"/>
    </row>
    <row r="6" spans="1:8" s="72" customFormat="1" ht="15" customHeight="1">
      <c r="B6" s="89" t="s">
        <v>93</v>
      </c>
      <c r="C6" s="189" t="s">
        <v>180</v>
      </c>
      <c r="D6" s="189"/>
      <c r="E6" s="189"/>
      <c r="F6" s="189"/>
      <c r="G6" s="189"/>
      <c r="H6" s="74"/>
    </row>
    <row r="7" spans="1:8" ht="9.9499999999999993" customHeight="1" thickBot="1"/>
    <row r="8" spans="1:8" s="55" customFormat="1" ht="20.100000000000001" customHeight="1" thickTop="1">
      <c r="A8" s="53"/>
      <c r="B8" s="196" t="s">
        <v>98</v>
      </c>
      <c r="C8" s="196"/>
      <c r="D8" s="190" t="s">
        <v>100</v>
      </c>
      <c r="E8" s="190" t="s">
        <v>95</v>
      </c>
      <c r="F8" s="192" t="s">
        <v>96</v>
      </c>
      <c r="G8" s="194" t="s">
        <v>97</v>
      </c>
      <c r="H8" s="54"/>
    </row>
    <row r="9" spans="1:8" s="55" customFormat="1" ht="33" customHeight="1">
      <c r="A9" s="56"/>
      <c r="B9" s="197"/>
      <c r="C9" s="197"/>
      <c r="D9" s="191"/>
      <c r="E9" s="191"/>
      <c r="F9" s="193"/>
      <c r="G9" s="195"/>
      <c r="H9" s="57"/>
    </row>
    <row r="10" spans="1:8" s="55" customFormat="1" ht="6.95" customHeight="1">
      <c r="A10" s="95"/>
      <c r="B10" s="96"/>
      <c r="C10" s="96"/>
      <c r="D10" s="97"/>
      <c r="E10" s="97"/>
      <c r="F10" s="98"/>
      <c r="G10" s="187"/>
      <c r="H10" s="99"/>
    </row>
    <row r="11" spans="1:8" s="6" customFormat="1" ht="15" customHeight="1">
      <c r="B11" s="68" t="s">
        <v>185</v>
      </c>
      <c r="C11" s="68"/>
      <c r="D11" s="69">
        <v>2015</v>
      </c>
      <c r="E11" s="174">
        <f>E15+E19+E23</f>
        <v>2948</v>
      </c>
      <c r="F11" s="69">
        <f t="shared" ref="F11:G11" si="0">F15+F19+F23</f>
        <v>586</v>
      </c>
      <c r="G11" s="174">
        <f t="shared" si="0"/>
        <v>2362</v>
      </c>
    </row>
    <row r="12" spans="1:8" s="6" customFormat="1" ht="15" customHeight="1">
      <c r="B12" s="68"/>
      <c r="C12" s="68"/>
      <c r="D12" s="69">
        <v>2016</v>
      </c>
      <c r="E12" s="174">
        <f t="shared" ref="E12:G12" si="1">E16+E20+E24</f>
        <v>3664</v>
      </c>
      <c r="F12" s="174">
        <f t="shared" si="1"/>
        <v>1154</v>
      </c>
      <c r="G12" s="174">
        <f t="shared" si="1"/>
        <v>2510</v>
      </c>
    </row>
    <row r="13" spans="1:8" s="6" customFormat="1" ht="15" customHeight="1">
      <c r="B13" s="68"/>
      <c r="C13" s="68"/>
      <c r="D13" s="69">
        <v>2017</v>
      </c>
      <c r="E13" s="174">
        <f>F13+G13</f>
        <v>3097</v>
      </c>
      <c r="F13" s="69">
        <f>F17+F21+F25</f>
        <v>842</v>
      </c>
      <c r="G13" s="174">
        <f>G17+G21+G25</f>
        <v>2255</v>
      </c>
    </row>
    <row r="14" spans="1:8" s="6" customFormat="1" ht="6.95" customHeight="1">
      <c r="B14" s="13"/>
      <c r="C14" s="13"/>
      <c r="D14" s="13"/>
      <c r="E14" s="9"/>
      <c r="F14" s="9"/>
      <c r="G14" s="9"/>
    </row>
    <row r="15" spans="1:8" ht="15" customHeight="1">
      <c r="B15" s="62" t="s">
        <v>21</v>
      </c>
      <c r="C15" s="62"/>
      <c r="D15" s="170">
        <v>2015</v>
      </c>
      <c r="E15" s="175">
        <f>SUM(F15:G15)</f>
        <v>373</v>
      </c>
      <c r="F15" s="170">
        <v>92</v>
      </c>
      <c r="G15" s="175">
        <v>281</v>
      </c>
    </row>
    <row r="16" spans="1:8" ht="15" customHeight="1">
      <c r="B16" s="62"/>
      <c r="C16" s="62"/>
      <c r="D16" s="170">
        <v>2016</v>
      </c>
      <c r="E16" s="175">
        <f>SUM(F16:G16)</f>
        <v>436</v>
      </c>
      <c r="F16" s="170">
        <v>115</v>
      </c>
      <c r="G16" s="175">
        <v>321</v>
      </c>
    </row>
    <row r="17" spans="1:10" ht="15" customHeight="1">
      <c r="B17" s="62"/>
      <c r="C17" s="62"/>
      <c r="D17" s="170">
        <v>2017</v>
      </c>
      <c r="E17" s="175">
        <f>F17+G17</f>
        <v>376</v>
      </c>
      <c r="F17" s="170">
        <v>80</v>
      </c>
      <c r="G17" s="175">
        <v>296</v>
      </c>
    </row>
    <row r="18" spans="1:10" ht="6.95" customHeight="1">
      <c r="B18" s="62"/>
      <c r="C18" s="62"/>
      <c r="D18" s="170"/>
      <c r="E18" s="175"/>
      <c r="F18" s="170"/>
      <c r="G18" s="175"/>
    </row>
    <row r="19" spans="1:10" ht="15" customHeight="1">
      <c r="B19" s="62" t="s">
        <v>22</v>
      </c>
      <c r="C19" s="62"/>
      <c r="D19" s="170">
        <v>2015</v>
      </c>
      <c r="E19" s="175">
        <f>SUM(F19:G19)</f>
        <v>266</v>
      </c>
      <c r="F19" s="170">
        <v>68</v>
      </c>
      <c r="G19" s="175">
        <v>198</v>
      </c>
    </row>
    <row r="20" spans="1:10" ht="15" customHeight="1">
      <c r="B20" s="62"/>
      <c r="C20" s="62"/>
      <c r="D20" s="170">
        <v>2016</v>
      </c>
      <c r="E20" s="175">
        <f>SUM(F20:G20)</f>
        <v>255</v>
      </c>
      <c r="F20" s="169">
        <v>57</v>
      </c>
      <c r="G20" s="175">
        <v>198</v>
      </c>
    </row>
    <row r="21" spans="1:10" ht="15" customHeight="1">
      <c r="B21" s="62"/>
      <c r="C21" s="62"/>
      <c r="D21" s="170">
        <v>2017</v>
      </c>
      <c r="E21" s="175">
        <f>F21+G21</f>
        <v>258</v>
      </c>
      <c r="F21" s="170">
        <v>67</v>
      </c>
      <c r="G21" s="175">
        <v>191</v>
      </c>
    </row>
    <row r="22" spans="1:10" ht="6.95" customHeight="1">
      <c r="B22" s="62"/>
      <c r="C22" s="62"/>
      <c r="D22" s="170"/>
      <c r="E22" s="175"/>
      <c r="F22" s="170"/>
      <c r="G22" s="175"/>
    </row>
    <row r="23" spans="1:10" ht="15" customHeight="1">
      <c r="B23" s="62" t="s">
        <v>23</v>
      </c>
      <c r="C23" s="62"/>
      <c r="D23" s="170">
        <v>2015</v>
      </c>
      <c r="E23" s="175">
        <f>SUM(F23:G23)</f>
        <v>2309</v>
      </c>
      <c r="F23" s="170">
        <v>426</v>
      </c>
      <c r="G23" s="175">
        <v>1883</v>
      </c>
    </row>
    <row r="24" spans="1:10" ht="15" customHeight="1">
      <c r="B24" s="62"/>
      <c r="C24" s="62"/>
      <c r="D24" s="170">
        <v>2016</v>
      </c>
      <c r="E24" s="175">
        <f>SUM(F24:G24)</f>
        <v>2973</v>
      </c>
      <c r="F24" s="170">
        <v>982</v>
      </c>
      <c r="G24" s="175">
        <v>1991</v>
      </c>
    </row>
    <row r="25" spans="1:10" ht="15" customHeight="1">
      <c r="B25" s="62"/>
      <c r="C25" s="62"/>
      <c r="D25" s="170">
        <v>2017</v>
      </c>
      <c r="E25" s="175">
        <f>F25+G25</f>
        <v>2463</v>
      </c>
      <c r="F25" s="170">
        <v>695</v>
      </c>
      <c r="G25" s="175">
        <v>1768</v>
      </c>
    </row>
    <row r="26" spans="1:10" ht="6.95" customHeight="1">
      <c r="A26" s="35"/>
      <c r="B26" s="81"/>
      <c r="C26" s="81"/>
      <c r="D26" s="146"/>
      <c r="E26" s="82"/>
      <c r="F26" s="83"/>
      <c r="G26" s="82"/>
    </row>
    <row r="27" spans="1:10" ht="6.95" customHeight="1">
      <c r="B27" s="84"/>
      <c r="C27" s="84"/>
      <c r="D27" s="147"/>
      <c r="E27" s="85"/>
      <c r="F27" s="86"/>
      <c r="G27" s="85"/>
      <c r="H27" s="87"/>
    </row>
    <row r="28" spans="1:10" s="6" customFormat="1" ht="15" customHeight="1">
      <c r="B28" s="68" t="s">
        <v>31</v>
      </c>
      <c r="C28" s="68"/>
      <c r="D28" s="69">
        <v>2015</v>
      </c>
      <c r="E28" s="174">
        <f>E32+E36+E40+E44+E48+E52+E56+E60</f>
        <v>4787</v>
      </c>
      <c r="F28" s="151">
        <f t="shared" ref="F28:G28" si="2">F32+F36+F40+F44+F48+F52+F56+F60</f>
        <v>1279</v>
      </c>
      <c r="G28" s="174">
        <f t="shared" si="2"/>
        <v>3508</v>
      </c>
      <c r="H28" s="24"/>
      <c r="I28" s="42"/>
    </row>
    <row r="29" spans="1:10" s="6" customFormat="1" ht="15" customHeight="1">
      <c r="B29" s="68"/>
      <c r="C29" s="68"/>
      <c r="D29" s="69">
        <v>2016</v>
      </c>
      <c r="E29" s="174">
        <f t="shared" ref="E29:G29" si="3">E33+E37+E41+E45+E49+E53+E57+E61</f>
        <v>4474</v>
      </c>
      <c r="F29" s="174">
        <f t="shared" si="3"/>
        <v>1084</v>
      </c>
      <c r="G29" s="174">
        <f t="shared" si="3"/>
        <v>3390</v>
      </c>
      <c r="H29" s="24"/>
      <c r="I29" s="42"/>
    </row>
    <row r="30" spans="1:10" s="6" customFormat="1" ht="15" customHeight="1">
      <c r="B30" s="68"/>
      <c r="C30" s="68"/>
      <c r="D30" s="69">
        <v>2017</v>
      </c>
      <c r="E30" s="174">
        <f>F30+G30</f>
        <v>3973</v>
      </c>
      <c r="F30" s="151">
        <f>F34+F38+F42+F46+F50+F54+F58+F62</f>
        <v>884</v>
      </c>
      <c r="G30" s="151">
        <f>G34+G38+G42+G46+G50+G54+G58+G62</f>
        <v>3089</v>
      </c>
      <c r="H30" s="24"/>
      <c r="I30" s="42"/>
    </row>
    <row r="31" spans="1:10" ht="8.1" customHeight="1">
      <c r="B31" s="68"/>
      <c r="C31" s="68"/>
      <c r="D31" s="69"/>
      <c r="E31" s="174"/>
      <c r="F31" s="174"/>
      <c r="G31" s="174"/>
      <c r="H31" s="7"/>
      <c r="I31" s="15"/>
      <c r="J31" s="15"/>
    </row>
    <row r="32" spans="1:10" ht="15" customHeight="1">
      <c r="B32" s="62" t="s">
        <v>24</v>
      </c>
      <c r="C32" s="62"/>
      <c r="D32" s="170">
        <v>2015</v>
      </c>
      <c r="E32" s="175">
        <f>SUM(F32:G32)</f>
        <v>91</v>
      </c>
      <c r="F32" s="173">
        <v>29</v>
      </c>
      <c r="G32" s="175">
        <v>62</v>
      </c>
      <c r="H32" s="7"/>
      <c r="I32" s="15"/>
    </row>
    <row r="33" spans="1:12" ht="15" customHeight="1">
      <c r="B33" s="62"/>
      <c r="C33" s="62"/>
      <c r="D33" s="170">
        <v>2016</v>
      </c>
      <c r="E33" s="175">
        <f>SUM(F33:G33)</f>
        <v>85</v>
      </c>
      <c r="F33" s="173">
        <v>18</v>
      </c>
      <c r="G33" s="175">
        <v>67</v>
      </c>
      <c r="H33" s="7"/>
      <c r="I33" s="15"/>
    </row>
    <row r="34" spans="1:12" ht="15" customHeight="1">
      <c r="B34" s="62"/>
      <c r="C34" s="62"/>
      <c r="D34" s="170">
        <v>2017</v>
      </c>
      <c r="E34" s="175">
        <f>F34+G34</f>
        <v>75</v>
      </c>
      <c r="F34" s="173">
        <v>19</v>
      </c>
      <c r="G34" s="175">
        <v>56</v>
      </c>
      <c r="H34" s="7"/>
      <c r="I34" s="15"/>
    </row>
    <row r="35" spans="1:12" ht="6.95" customHeight="1">
      <c r="B35" s="62"/>
      <c r="C35" s="62"/>
      <c r="D35" s="170"/>
      <c r="E35" s="175"/>
      <c r="F35" s="173"/>
      <c r="G35" s="175"/>
      <c r="H35" s="7"/>
      <c r="I35" s="15"/>
    </row>
    <row r="36" spans="1:12" ht="15" customHeight="1">
      <c r="B36" s="62" t="s">
        <v>30</v>
      </c>
      <c r="C36" s="62"/>
      <c r="D36" s="170">
        <v>2015</v>
      </c>
      <c r="E36" s="175">
        <f>SUM(F36:G36)</f>
        <v>318</v>
      </c>
      <c r="F36" s="175">
        <v>83</v>
      </c>
      <c r="G36" s="175">
        <v>235</v>
      </c>
      <c r="H36" s="7"/>
      <c r="I36" s="15"/>
    </row>
    <row r="37" spans="1:12" ht="15" customHeight="1">
      <c r="B37" s="62"/>
      <c r="C37" s="62"/>
      <c r="D37" s="170">
        <v>2016</v>
      </c>
      <c r="E37" s="175">
        <f>SUM(F37:G37)</f>
        <v>271</v>
      </c>
      <c r="F37" s="173">
        <v>60</v>
      </c>
      <c r="G37" s="175">
        <v>211</v>
      </c>
      <c r="H37" s="7"/>
      <c r="I37" s="15"/>
    </row>
    <row r="38" spans="1:12" ht="15" customHeight="1">
      <c r="B38" s="62"/>
      <c r="C38" s="62"/>
      <c r="D38" s="170">
        <v>2017</v>
      </c>
      <c r="E38" s="175">
        <f>F38+G38</f>
        <v>245</v>
      </c>
      <c r="F38" s="175">
        <v>69</v>
      </c>
      <c r="G38" s="175">
        <v>176</v>
      </c>
      <c r="H38" s="7"/>
      <c r="I38" s="15"/>
    </row>
    <row r="39" spans="1:12" ht="6.95" customHeight="1">
      <c r="B39" s="62"/>
      <c r="C39" s="62"/>
      <c r="D39" s="170"/>
      <c r="E39" s="175"/>
      <c r="F39" s="175"/>
      <c r="G39" s="175"/>
      <c r="H39" s="7"/>
      <c r="I39" s="15"/>
    </row>
    <row r="40" spans="1:12" ht="15" customHeight="1">
      <c r="B40" s="62" t="s">
        <v>25</v>
      </c>
      <c r="C40" s="62"/>
      <c r="D40" s="170">
        <v>2015</v>
      </c>
      <c r="E40" s="175">
        <f>SUM(F40:G40)</f>
        <v>289</v>
      </c>
      <c r="F40" s="173">
        <v>45</v>
      </c>
      <c r="G40" s="175">
        <v>244</v>
      </c>
      <c r="H40" s="7"/>
      <c r="I40" s="15"/>
    </row>
    <row r="41" spans="1:12" ht="15" customHeight="1">
      <c r="A41" s="7"/>
      <c r="B41" s="62"/>
      <c r="C41" s="62"/>
      <c r="D41" s="170">
        <v>2016</v>
      </c>
      <c r="E41" s="175">
        <f>SUM(F41:G41)</f>
        <v>279</v>
      </c>
      <c r="F41" s="173">
        <v>55</v>
      </c>
      <c r="G41" s="175">
        <v>224</v>
      </c>
      <c r="H41" s="7"/>
      <c r="I41" s="15"/>
    </row>
    <row r="42" spans="1:12" ht="15" customHeight="1">
      <c r="B42" s="62"/>
      <c r="C42" s="62"/>
      <c r="D42" s="170">
        <v>2017</v>
      </c>
      <c r="E42" s="175">
        <f>F42+G42</f>
        <v>248</v>
      </c>
      <c r="F42" s="173">
        <v>50</v>
      </c>
      <c r="G42" s="175">
        <v>198</v>
      </c>
      <c r="H42" s="7"/>
    </row>
    <row r="43" spans="1:12" ht="6.95" customHeight="1">
      <c r="B43" s="62"/>
      <c r="C43" s="62"/>
      <c r="D43" s="170"/>
      <c r="E43" s="175"/>
      <c r="F43" s="173"/>
      <c r="G43" s="175"/>
      <c r="H43" s="7"/>
    </row>
    <row r="44" spans="1:12" ht="15" customHeight="1">
      <c r="B44" s="62" t="s">
        <v>68</v>
      </c>
      <c r="C44" s="62"/>
      <c r="D44" s="170">
        <v>2015</v>
      </c>
      <c r="E44" s="175">
        <f>SUM(F44:G44)</f>
        <v>1335</v>
      </c>
      <c r="F44" s="175">
        <v>389</v>
      </c>
      <c r="G44" s="175">
        <v>946</v>
      </c>
      <c r="H44" s="7"/>
    </row>
    <row r="45" spans="1:12" ht="15" customHeight="1">
      <c r="B45" s="62"/>
      <c r="C45" s="62"/>
      <c r="D45" s="170">
        <v>2016</v>
      </c>
      <c r="E45" s="175">
        <f>SUM(F45:G45)</f>
        <v>1244</v>
      </c>
      <c r="F45" s="175">
        <v>359</v>
      </c>
      <c r="G45" s="175">
        <v>885</v>
      </c>
      <c r="H45" s="7"/>
    </row>
    <row r="46" spans="1:12" ht="15" customHeight="1">
      <c r="B46" s="62"/>
      <c r="C46" s="62"/>
      <c r="D46" s="170">
        <v>2017</v>
      </c>
      <c r="E46" s="175">
        <f>F46+G46</f>
        <v>1169</v>
      </c>
      <c r="F46" s="175">
        <v>276</v>
      </c>
      <c r="G46" s="175">
        <v>893</v>
      </c>
      <c r="H46" s="7"/>
    </row>
    <row r="47" spans="1:12" ht="6.95" customHeight="1">
      <c r="B47" s="62"/>
      <c r="C47" s="62"/>
      <c r="D47" s="170"/>
      <c r="E47" s="175"/>
      <c r="F47" s="175"/>
      <c r="G47" s="175"/>
      <c r="H47" s="7"/>
    </row>
    <row r="48" spans="1:12" s="3" customFormat="1" ht="15" customHeight="1">
      <c r="B48" s="62" t="s">
        <v>26</v>
      </c>
      <c r="C48" s="62"/>
      <c r="D48" s="170">
        <v>2015</v>
      </c>
      <c r="E48" s="175">
        <f>SUM(F48:G48)</f>
        <v>369</v>
      </c>
      <c r="F48" s="175">
        <v>135</v>
      </c>
      <c r="G48" s="175">
        <v>234</v>
      </c>
      <c r="H48" s="7"/>
      <c r="I48" s="2"/>
      <c r="J48" s="2"/>
      <c r="K48" s="2"/>
      <c r="L48" s="2"/>
    </row>
    <row r="49" spans="1:8" ht="15" customHeight="1">
      <c r="B49" s="62"/>
      <c r="C49" s="62"/>
      <c r="D49" s="170">
        <v>2016</v>
      </c>
      <c r="E49" s="175">
        <f>SUM(F49:G49)</f>
        <v>387</v>
      </c>
      <c r="F49" s="175">
        <v>109</v>
      </c>
      <c r="G49" s="175">
        <v>278</v>
      </c>
      <c r="H49" s="7"/>
    </row>
    <row r="50" spans="1:8" ht="15" customHeight="1">
      <c r="B50" s="62"/>
      <c r="C50" s="62"/>
      <c r="D50" s="170">
        <v>2017</v>
      </c>
      <c r="E50" s="175">
        <f>F50+G50</f>
        <v>342</v>
      </c>
      <c r="F50" s="175">
        <v>84</v>
      </c>
      <c r="G50" s="175">
        <v>258</v>
      </c>
      <c r="H50" s="7"/>
    </row>
    <row r="51" spans="1:8" ht="6.95" customHeight="1">
      <c r="B51" s="62"/>
      <c r="C51" s="62"/>
      <c r="D51" s="170"/>
      <c r="E51" s="175"/>
      <c r="F51" s="175"/>
      <c r="G51" s="175"/>
      <c r="H51" s="7"/>
    </row>
    <row r="52" spans="1:8" ht="15" customHeight="1">
      <c r="B52" s="62" t="s">
        <v>27</v>
      </c>
      <c r="C52" s="62"/>
      <c r="D52" s="170">
        <v>2015</v>
      </c>
      <c r="E52" s="175">
        <f>SUM(F52:G52)</f>
        <v>139</v>
      </c>
      <c r="F52" s="175">
        <v>41</v>
      </c>
      <c r="G52" s="175">
        <v>98</v>
      </c>
      <c r="H52" s="7"/>
    </row>
    <row r="53" spans="1:8" ht="15" customHeight="1">
      <c r="B53" s="62"/>
      <c r="C53" s="62"/>
      <c r="D53" s="170">
        <v>2016</v>
      </c>
      <c r="E53" s="175">
        <f>SUM(F53:G53)</f>
        <v>171</v>
      </c>
      <c r="F53" s="175">
        <v>32</v>
      </c>
      <c r="G53" s="175">
        <v>139</v>
      </c>
      <c r="H53" s="7"/>
    </row>
    <row r="54" spans="1:8" ht="15" customHeight="1">
      <c r="B54" s="62"/>
      <c r="C54" s="62"/>
      <c r="D54" s="170">
        <v>2017</v>
      </c>
      <c r="E54" s="175">
        <f>F54+G54</f>
        <v>154</v>
      </c>
      <c r="F54" s="175">
        <v>16</v>
      </c>
      <c r="G54" s="175">
        <v>138</v>
      </c>
      <c r="H54" s="7"/>
    </row>
    <row r="55" spans="1:8" ht="6.95" customHeight="1">
      <c r="B55" s="62"/>
      <c r="C55" s="62"/>
      <c r="D55" s="170"/>
      <c r="E55" s="175"/>
      <c r="F55" s="175"/>
      <c r="G55" s="175"/>
      <c r="H55" s="7"/>
    </row>
    <row r="56" spans="1:8" ht="15" customHeight="1">
      <c r="B56" s="62" t="s">
        <v>28</v>
      </c>
      <c r="C56" s="62"/>
      <c r="D56" s="170">
        <v>2015</v>
      </c>
      <c r="E56" s="175">
        <f>SUM(F56:G56)</f>
        <v>1955</v>
      </c>
      <c r="F56" s="175">
        <v>496</v>
      </c>
      <c r="G56" s="175">
        <v>1459</v>
      </c>
      <c r="H56" s="7"/>
    </row>
    <row r="57" spans="1:8" ht="15" customHeight="1">
      <c r="B57" s="62"/>
      <c r="C57" s="62"/>
      <c r="D57" s="170">
        <v>2016</v>
      </c>
      <c r="E57" s="175">
        <f>SUM(F57:G57)</f>
        <v>1743</v>
      </c>
      <c r="F57" s="175">
        <v>388</v>
      </c>
      <c r="G57" s="175">
        <v>1355</v>
      </c>
      <c r="H57" s="7"/>
    </row>
    <row r="58" spans="1:8" ht="15" customHeight="1">
      <c r="B58" s="62"/>
      <c r="C58" s="62"/>
      <c r="D58" s="170">
        <v>2017</v>
      </c>
      <c r="E58" s="175">
        <f>F58+G58</f>
        <v>1530</v>
      </c>
      <c r="F58" s="175">
        <v>331</v>
      </c>
      <c r="G58" s="175">
        <v>1199</v>
      </c>
      <c r="H58" s="7"/>
    </row>
    <row r="59" spans="1:8" ht="6.95" customHeight="1">
      <c r="B59" s="62"/>
      <c r="C59" s="62"/>
      <c r="D59" s="170"/>
      <c r="E59" s="175"/>
      <c r="F59" s="175"/>
      <c r="G59" s="175"/>
      <c r="H59" s="7"/>
    </row>
    <row r="60" spans="1:8" ht="15" customHeight="1">
      <c r="B60" s="62" t="s">
        <v>29</v>
      </c>
      <c r="C60" s="62"/>
      <c r="D60" s="170">
        <v>2015</v>
      </c>
      <c r="E60" s="175">
        <f>SUM(F60:G60)</f>
        <v>291</v>
      </c>
      <c r="F60" s="175">
        <v>61</v>
      </c>
      <c r="G60" s="175">
        <v>230</v>
      </c>
      <c r="H60" s="7"/>
    </row>
    <row r="61" spans="1:8" ht="15" customHeight="1">
      <c r="B61" s="62"/>
      <c r="C61" s="62"/>
      <c r="D61" s="170">
        <v>2016</v>
      </c>
      <c r="E61" s="175">
        <f>SUM(F61:G61)</f>
        <v>294</v>
      </c>
      <c r="F61" s="173">
        <v>63</v>
      </c>
      <c r="G61" s="175">
        <v>231</v>
      </c>
      <c r="H61" s="7"/>
    </row>
    <row r="62" spans="1:8" ht="15" customHeight="1">
      <c r="B62" s="62"/>
      <c r="C62" s="62"/>
      <c r="D62" s="170">
        <v>2017</v>
      </c>
      <c r="E62" s="175">
        <f>F62+G62</f>
        <v>210</v>
      </c>
      <c r="F62" s="175">
        <v>39</v>
      </c>
      <c r="G62" s="175">
        <v>171</v>
      </c>
      <c r="H62" s="7"/>
    </row>
    <row r="63" spans="1:8" ht="6.95" customHeight="1" thickBot="1">
      <c r="A63" s="34"/>
      <c r="B63" s="16"/>
      <c r="C63" s="16"/>
      <c r="D63" s="140"/>
      <c r="E63" s="26"/>
      <c r="F63" s="12"/>
      <c r="G63" s="12"/>
      <c r="H63" s="34"/>
    </row>
    <row r="64" spans="1:8">
      <c r="D64" s="139"/>
      <c r="E64" s="3"/>
      <c r="F64" s="21"/>
      <c r="G64" s="183" t="s">
        <v>104</v>
      </c>
      <c r="H64" s="8" t="s">
        <v>0</v>
      </c>
    </row>
    <row r="65" spans="4:8">
      <c r="D65" s="139"/>
      <c r="E65" s="3"/>
      <c r="F65" s="21"/>
      <c r="H65" s="41" t="s">
        <v>1</v>
      </c>
    </row>
    <row r="66" spans="4:8">
      <c r="D66" s="139"/>
    </row>
    <row r="67" spans="4:8">
      <c r="D67" s="139"/>
    </row>
    <row r="68" spans="4:8">
      <c r="D68" s="139"/>
    </row>
    <row r="69" spans="4:8">
      <c r="D69" s="139"/>
    </row>
  </sheetData>
  <mergeCells count="6">
    <mergeCell ref="C6:G6"/>
    <mergeCell ref="E8:E9"/>
    <mergeCell ref="F8:F9"/>
    <mergeCell ref="G8:G9"/>
    <mergeCell ref="B8:C9"/>
    <mergeCell ref="D8:D9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0" fitToWidth="0" orientation="portrait" r:id="rId1"/>
  <headerFooter>
    <oddHeader xml:space="preserve">&amp;R&amp;"-,Bold"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9"/>
  <sheetViews>
    <sheetView showGridLines="0" topLeftCell="A20" zoomScaleNormal="100" zoomScaleSheetLayoutView="100" workbookViewId="0">
      <selection activeCell="P43" sqref="P43"/>
    </sheetView>
  </sheetViews>
  <sheetFormatPr defaultColWidth="9.140625" defaultRowHeight="15"/>
  <cols>
    <col min="1" max="1" width="0.85546875" style="2" customWidth="1"/>
    <col min="2" max="2" width="11.5703125" style="3" customWidth="1"/>
    <col min="3" max="3" width="12.28515625" style="3" customWidth="1"/>
    <col min="4" max="4" width="10.85546875" style="3" customWidth="1"/>
    <col min="5" max="5" width="15.7109375" style="21" customWidth="1"/>
    <col min="6" max="6" width="23.7109375" style="22" customWidth="1"/>
    <col min="7" max="7" width="23.7109375" style="182" customWidth="1"/>
    <col min="8" max="8" width="0.85546875" style="2" customWidth="1"/>
    <col min="9" max="16384" width="9.140625" style="2"/>
  </cols>
  <sheetData>
    <row r="1" spans="1:9" s="30" customFormat="1" ht="12" customHeight="1">
      <c r="B1" s="27"/>
      <c r="C1" s="27"/>
      <c r="D1" s="27"/>
      <c r="E1" s="28"/>
      <c r="F1" s="29"/>
      <c r="G1" s="179" t="s">
        <v>188</v>
      </c>
    </row>
    <row r="2" spans="1:9" s="30" customFormat="1" ht="12" customHeight="1">
      <c r="B2" s="27"/>
      <c r="C2" s="27"/>
      <c r="D2" s="27"/>
      <c r="E2" s="28"/>
      <c r="F2" s="29"/>
      <c r="G2" s="180" t="s">
        <v>189</v>
      </c>
    </row>
    <row r="3" spans="1:9" s="30" customFormat="1" ht="12" customHeight="1">
      <c r="B3" s="27"/>
      <c r="C3" s="27"/>
      <c r="D3" s="27"/>
      <c r="E3" s="28"/>
      <c r="F3" s="29"/>
      <c r="G3" s="180"/>
    </row>
    <row r="4" spans="1:9" s="30" customFormat="1" ht="12" customHeight="1">
      <c r="B4" s="27"/>
      <c r="C4" s="27"/>
      <c r="D4" s="27"/>
      <c r="E4" s="28"/>
      <c r="F4" s="29"/>
      <c r="G4" s="180"/>
    </row>
    <row r="5" spans="1:9" s="55" customFormat="1" ht="15" customHeight="1">
      <c r="B5" s="88" t="s">
        <v>92</v>
      </c>
      <c r="C5" s="71" t="s">
        <v>179</v>
      </c>
      <c r="D5" s="71"/>
      <c r="E5" s="70"/>
      <c r="F5" s="71"/>
      <c r="G5" s="181"/>
      <c r="H5" s="71"/>
    </row>
    <row r="6" spans="1:9" s="72" customFormat="1" ht="15" customHeight="1">
      <c r="B6" s="89" t="s">
        <v>93</v>
      </c>
      <c r="C6" s="189" t="s">
        <v>180</v>
      </c>
      <c r="D6" s="189"/>
      <c r="E6" s="189"/>
      <c r="F6" s="189"/>
      <c r="G6" s="189"/>
      <c r="H6" s="74"/>
    </row>
    <row r="7" spans="1:9" ht="9.9499999999999993" customHeight="1" thickBot="1"/>
    <row r="8" spans="1:9" s="55" customFormat="1" ht="20.100000000000001" customHeight="1" thickTop="1">
      <c r="A8" s="53"/>
      <c r="B8" s="196" t="s">
        <v>98</v>
      </c>
      <c r="C8" s="196"/>
      <c r="D8" s="190" t="s">
        <v>100</v>
      </c>
      <c r="E8" s="190" t="s">
        <v>95</v>
      </c>
      <c r="F8" s="192" t="s">
        <v>96</v>
      </c>
      <c r="G8" s="194" t="s">
        <v>97</v>
      </c>
      <c r="H8" s="54"/>
    </row>
    <row r="9" spans="1:9" s="55" customFormat="1" ht="33" customHeight="1">
      <c r="A9" s="56"/>
      <c r="B9" s="197"/>
      <c r="C9" s="197"/>
      <c r="D9" s="191"/>
      <c r="E9" s="191"/>
      <c r="F9" s="193"/>
      <c r="G9" s="195"/>
      <c r="H9" s="57"/>
    </row>
    <row r="10" spans="1:9" s="55" customFormat="1" ht="8.1" customHeight="1">
      <c r="A10" s="95"/>
      <c r="B10" s="96"/>
      <c r="C10" s="96"/>
      <c r="D10" s="97"/>
      <c r="E10" s="97"/>
      <c r="F10" s="98"/>
      <c r="G10" s="187"/>
      <c r="H10" s="99"/>
    </row>
    <row r="11" spans="1:9" s="6" customFormat="1" ht="15" customHeight="1">
      <c r="B11" s="68" t="s">
        <v>103</v>
      </c>
      <c r="C11" s="68"/>
      <c r="D11" s="69">
        <v>2015</v>
      </c>
      <c r="E11" s="174">
        <f>E15+E19+E23+E27+E31+E35+E39+E43+E47+E51+E55</f>
        <v>4257</v>
      </c>
      <c r="F11" s="174">
        <f t="shared" ref="F11:G11" si="0">F15+F19+F23+F27+F31+F35+F39+F43+F47+F51+F55</f>
        <v>677</v>
      </c>
      <c r="G11" s="174">
        <f t="shared" si="0"/>
        <v>3580</v>
      </c>
      <c r="I11" s="42"/>
    </row>
    <row r="12" spans="1:9" s="6" customFormat="1" ht="15" customHeight="1">
      <c r="B12" s="68"/>
      <c r="C12" s="68"/>
      <c r="D12" s="69">
        <v>2016</v>
      </c>
      <c r="E12" s="174">
        <f t="shared" ref="E12:G12" si="1">E16+E20+E24+E28+E32+E36+E40+E44+E48+E52+E56</f>
        <v>3777</v>
      </c>
      <c r="F12" s="151">
        <f t="shared" si="1"/>
        <v>651</v>
      </c>
      <c r="G12" s="174">
        <f t="shared" si="1"/>
        <v>3126</v>
      </c>
      <c r="I12" s="42"/>
    </row>
    <row r="13" spans="1:9" s="6" customFormat="1" ht="15" customHeight="1">
      <c r="B13" s="68"/>
      <c r="C13" s="68"/>
      <c r="D13" s="69">
        <v>2017</v>
      </c>
      <c r="E13" s="174">
        <f>F13+G13</f>
        <v>3607</v>
      </c>
      <c r="F13" s="151">
        <f>F17+F21+F25+F29+F33+F37+F41+F45+F49+F53+F57</f>
        <v>656</v>
      </c>
      <c r="G13" s="151">
        <f>G17+G21+G25+G29+G33+G37+G41+G45+G49+G53+G57</f>
        <v>2951</v>
      </c>
      <c r="I13" s="42"/>
    </row>
    <row r="14" spans="1:9" ht="8.1" customHeight="1">
      <c r="B14" s="62"/>
      <c r="C14" s="62"/>
      <c r="D14" s="170"/>
      <c r="E14" s="175"/>
      <c r="F14" s="173"/>
      <c r="G14" s="175"/>
      <c r="I14" s="15"/>
    </row>
    <row r="15" spans="1:9" ht="15" customHeight="1">
      <c r="B15" s="62" t="s">
        <v>32</v>
      </c>
      <c r="C15" s="62"/>
      <c r="D15" s="170">
        <v>2015</v>
      </c>
      <c r="E15" s="175">
        <v>492</v>
      </c>
      <c r="F15" s="175">
        <v>100</v>
      </c>
      <c r="G15" s="175">
        <v>392</v>
      </c>
      <c r="I15" s="15"/>
    </row>
    <row r="16" spans="1:9" ht="15" customHeight="1">
      <c r="B16" s="62"/>
      <c r="C16" s="62"/>
      <c r="D16" s="170">
        <v>2016</v>
      </c>
      <c r="E16" s="175">
        <v>399</v>
      </c>
      <c r="F16" s="175">
        <v>67</v>
      </c>
      <c r="G16" s="175">
        <v>332</v>
      </c>
      <c r="I16" s="15"/>
    </row>
    <row r="17" spans="1:12" ht="15" customHeight="1">
      <c r="B17" s="62"/>
      <c r="C17" s="62"/>
      <c r="D17" s="170">
        <v>2017</v>
      </c>
      <c r="E17" s="175">
        <f>F17+G17</f>
        <v>327</v>
      </c>
      <c r="F17" s="175">
        <v>47</v>
      </c>
      <c r="G17" s="175">
        <v>280</v>
      </c>
      <c r="I17" s="15"/>
    </row>
    <row r="18" spans="1:12" ht="8.1" customHeight="1">
      <c r="B18" s="62"/>
      <c r="C18" s="62"/>
      <c r="D18" s="170"/>
      <c r="E18" s="175"/>
      <c r="F18" s="173"/>
      <c r="G18" s="175"/>
      <c r="I18" s="15"/>
    </row>
    <row r="19" spans="1:12" ht="15" customHeight="1">
      <c r="B19" s="62" t="s">
        <v>42</v>
      </c>
      <c r="C19" s="62"/>
      <c r="D19" s="170">
        <v>2015</v>
      </c>
      <c r="E19" s="175">
        <v>174</v>
      </c>
      <c r="F19" s="173">
        <v>38</v>
      </c>
      <c r="G19" s="175">
        <v>136</v>
      </c>
      <c r="I19" s="15"/>
    </row>
    <row r="20" spans="1:12" ht="15" customHeight="1">
      <c r="A20" s="7"/>
      <c r="B20" s="62"/>
      <c r="C20" s="62"/>
      <c r="D20" s="170">
        <v>2016</v>
      </c>
      <c r="E20" s="175">
        <v>184</v>
      </c>
      <c r="F20" s="173">
        <v>31</v>
      </c>
      <c r="G20" s="175">
        <v>153</v>
      </c>
      <c r="H20" s="7"/>
      <c r="I20" s="15"/>
    </row>
    <row r="21" spans="1:12" ht="15" customHeight="1">
      <c r="A21" s="7"/>
      <c r="B21" s="62"/>
      <c r="C21" s="62"/>
      <c r="D21" s="170">
        <v>2017</v>
      </c>
      <c r="E21" s="175">
        <f>F21+G21</f>
        <v>140</v>
      </c>
      <c r="F21" s="173">
        <v>40</v>
      </c>
      <c r="G21" s="175">
        <v>100</v>
      </c>
      <c r="H21" s="7"/>
    </row>
    <row r="22" spans="1:12" ht="8.1" customHeight="1">
      <c r="A22" s="7"/>
      <c r="B22" s="62"/>
      <c r="C22" s="62"/>
      <c r="D22" s="170"/>
      <c r="E22" s="175"/>
      <c r="F22" s="175"/>
      <c r="G22" s="175"/>
      <c r="H22" s="7"/>
    </row>
    <row r="23" spans="1:12" ht="15" customHeight="1">
      <c r="A23" s="7"/>
      <c r="B23" s="62" t="s">
        <v>33</v>
      </c>
      <c r="C23" s="62"/>
      <c r="D23" s="170">
        <v>2015</v>
      </c>
      <c r="E23" s="175">
        <v>56</v>
      </c>
      <c r="F23" s="173">
        <v>15</v>
      </c>
      <c r="G23" s="175">
        <v>41</v>
      </c>
      <c r="H23" s="7"/>
    </row>
    <row r="24" spans="1:12" ht="15" customHeight="1">
      <c r="B24" s="62"/>
      <c r="C24" s="62"/>
      <c r="D24" s="170">
        <v>2016</v>
      </c>
      <c r="E24" s="175">
        <v>78</v>
      </c>
      <c r="F24" s="175">
        <v>19</v>
      </c>
      <c r="G24" s="175">
        <v>59</v>
      </c>
    </row>
    <row r="25" spans="1:12" ht="15" customHeight="1">
      <c r="B25" s="62"/>
      <c r="C25" s="62"/>
      <c r="D25" s="170">
        <v>2017</v>
      </c>
      <c r="E25" s="175">
        <f>F25+G25</f>
        <v>76</v>
      </c>
      <c r="F25" s="173">
        <v>13</v>
      </c>
      <c r="G25" s="175">
        <v>63</v>
      </c>
    </row>
    <row r="26" spans="1:12" ht="8.1" customHeight="1">
      <c r="B26" s="62"/>
      <c r="C26" s="62"/>
      <c r="D26" s="170"/>
      <c r="E26" s="175"/>
      <c r="F26" s="175"/>
      <c r="G26" s="175"/>
    </row>
    <row r="27" spans="1:12" ht="15" customHeight="1">
      <c r="B27" s="62" t="s">
        <v>34</v>
      </c>
      <c r="C27" s="62"/>
      <c r="D27" s="170">
        <v>2015</v>
      </c>
      <c r="E27" s="175">
        <v>223</v>
      </c>
      <c r="F27" s="173">
        <v>43</v>
      </c>
      <c r="G27" s="175">
        <v>180</v>
      </c>
    </row>
    <row r="28" spans="1:12" ht="15" customHeight="1">
      <c r="B28" s="62"/>
      <c r="C28" s="62"/>
      <c r="D28" s="170">
        <v>2016</v>
      </c>
      <c r="E28" s="175">
        <v>223</v>
      </c>
      <c r="F28" s="175">
        <v>47</v>
      </c>
      <c r="G28" s="175">
        <v>176</v>
      </c>
    </row>
    <row r="29" spans="1:12" ht="15" customHeight="1">
      <c r="B29" s="62"/>
      <c r="C29" s="62"/>
      <c r="D29" s="170">
        <v>2017</v>
      </c>
      <c r="E29" s="175">
        <v>193</v>
      </c>
      <c r="F29" s="173">
        <v>31</v>
      </c>
      <c r="G29" s="175">
        <v>162</v>
      </c>
    </row>
    <row r="30" spans="1:12" ht="8.1" customHeight="1">
      <c r="B30" s="62"/>
      <c r="C30" s="62"/>
      <c r="D30" s="170"/>
      <c r="E30" s="175"/>
      <c r="F30" s="175"/>
      <c r="G30" s="175"/>
    </row>
    <row r="31" spans="1:12" ht="15" customHeight="1">
      <c r="B31" s="62" t="s">
        <v>36</v>
      </c>
      <c r="C31" s="62"/>
      <c r="D31" s="170">
        <v>2015</v>
      </c>
      <c r="E31" s="175">
        <v>141</v>
      </c>
      <c r="F31" s="173">
        <v>19</v>
      </c>
      <c r="G31" s="175">
        <v>122</v>
      </c>
    </row>
    <row r="32" spans="1:12" s="3" customFormat="1" ht="15" customHeight="1">
      <c r="B32" s="62"/>
      <c r="C32" s="62"/>
      <c r="D32" s="170">
        <v>2016</v>
      </c>
      <c r="E32" s="175">
        <v>136</v>
      </c>
      <c r="F32" s="175">
        <v>21</v>
      </c>
      <c r="G32" s="175">
        <v>115</v>
      </c>
      <c r="H32" s="2"/>
      <c r="I32" s="2"/>
      <c r="J32" s="2"/>
      <c r="K32" s="2"/>
      <c r="L32" s="2"/>
    </row>
    <row r="33" spans="2:7" ht="15" customHeight="1">
      <c r="B33" s="62"/>
      <c r="C33" s="62"/>
      <c r="D33" s="170">
        <v>2017</v>
      </c>
      <c r="E33" s="175">
        <f>F33+G33</f>
        <v>125</v>
      </c>
      <c r="F33" s="173">
        <v>13</v>
      </c>
      <c r="G33" s="175">
        <v>112</v>
      </c>
    </row>
    <row r="34" spans="2:7" ht="8.1" customHeight="1">
      <c r="B34" s="62"/>
      <c r="C34" s="62"/>
      <c r="D34" s="170"/>
      <c r="E34" s="175"/>
      <c r="F34" s="173"/>
      <c r="G34" s="175"/>
    </row>
    <row r="35" spans="2:7" ht="15" customHeight="1">
      <c r="B35" s="62" t="s">
        <v>35</v>
      </c>
      <c r="C35" s="62"/>
      <c r="D35" s="170">
        <v>2015</v>
      </c>
      <c r="E35" s="175">
        <v>1855</v>
      </c>
      <c r="F35" s="175">
        <v>263</v>
      </c>
      <c r="G35" s="175">
        <v>1592</v>
      </c>
    </row>
    <row r="36" spans="2:7" ht="15" customHeight="1">
      <c r="B36" s="62"/>
      <c r="C36" s="62"/>
      <c r="D36" s="170">
        <v>2016</v>
      </c>
      <c r="E36" s="175">
        <v>1598</v>
      </c>
      <c r="F36" s="175">
        <v>257</v>
      </c>
      <c r="G36" s="175">
        <v>1341</v>
      </c>
    </row>
    <row r="37" spans="2:7" ht="15" customHeight="1">
      <c r="B37" s="62"/>
      <c r="C37" s="62"/>
      <c r="D37" s="170">
        <v>2017</v>
      </c>
      <c r="E37" s="175">
        <f>F37+G37</f>
        <v>1644</v>
      </c>
      <c r="F37" s="175">
        <v>324</v>
      </c>
      <c r="G37" s="175">
        <v>1320</v>
      </c>
    </row>
    <row r="38" spans="2:7" ht="8.1" customHeight="1">
      <c r="B38" s="62"/>
      <c r="C38" s="62"/>
      <c r="D38" s="170"/>
      <c r="E38" s="175"/>
      <c r="F38" s="173"/>
      <c r="G38" s="175"/>
    </row>
    <row r="39" spans="2:7" ht="15" customHeight="1">
      <c r="B39" s="62" t="s">
        <v>41</v>
      </c>
      <c r="C39" s="62"/>
      <c r="D39" s="170">
        <v>2015</v>
      </c>
      <c r="E39" s="175">
        <v>259</v>
      </c>
      <c r="F39" s="175">
        <v>49</v>
      </c>
      <c r="G39" s="175">
        <v>210</v>
      </c>
    </row>
    <row r="40" spans="2:7" ht="15" customHeight="1">
      <c r="B40" s="62"/>
      <c r="C40" s="62"/>
      <c r="D40" s="170">
        <v>2016</v>
      </c>
      <c r="E40" s="175">
        <v>263</v>
      </c>
      <c r="F40" s="175">
        <v>44</v>
      </c>
      <c r="G40" s="175">
        <v>219</v>
      </c>
    </row>
    <row r="41" spans="2:7" ht="15" customHeight="1">
      <c r="B41" s="62"/>
      <c r="C41" s="62"/>
      <c r="D41" s="170">
        <v>2017</v>
      </c>
      <c r="E41" s="175">
        <f>F41+G41</f>
        <v>254</v>
      </c>
      <c r="F41" s="175">
        <v>36</v>
      </c>
      <c r="G41" s="175">
        <v>218</v>
      </c>
    </row>
    <row r="42" spans="2:7" ht="8.1" customHeight="1">
      <c r="B42" s="62"/>
      <c r="C42" s="62"/>
      <c r="D42" s="170"/>
      <c r="E42" s="175"/>
      <c r="F42" s="173"/>
      <c r="G42" s="175"/>
    </row>
    <row r="43" spans="2:7" ht="15" customHeight="1">
      <c r="B43" s="62" t="s">
        <v>37</v>
      </c>
      <c r="C43" s="62"/>
      <c r="D43" s="170">
        <v>2015</v>
      </c>
      <c r="E43" s="175">
        <v>198</v>
      </c>
      <c r="F43" s="175">
        <v>19</v>
      </c>
      <c r="G43" s="175">
        <v>179</v>
      </c>
    </row>
    <row r="44" spans="2:7" ht="15" customHeight="1">
      <c r="B44" s="62"/>
      <c r="C44" s="62"/>
      <c r="D44" s="170">
        <v>2016</v>
      </c>
      <c r="E44" s="175">
        <v>170</v>
      </c>
      <c r="F44" s="175">
        <v>19</v>
      </c>
      <c r="G44" s="175">
        <v>151</v>
      </c>
    </row>
    <row r="45" spans="2:7" ht="15" customHeight="1">
      <c r="B45" s="62"/>
      <c r="C45" s="62"/>
      <c r="D45" s="170">
        <v>2017</v>
      </c>
      <c r="E45" s="175">
        <f>F45+G45</f>
        <v>171</v>
      </c>
      <c r="F45" s="175">
        <v>33</v>
      </c>
      <c r="G45" s="175">
        <v>138</v>
      </c>
    </row>
    <row r="46" spans="2:7" ht="8.1" customHeight="1">
      <c r="B46" s="62"/>
      <c r="C46" s="62"/>
      <c r="D46" s="170"/>
      <c r="E46" s="175"/>
      <c r="F46" s="175"/>
      <c r="G46" s="175"/>
    </row>
    <row r="47" spans="2:7" ht="15" customHeight="1">
      <c r="B47" s="62" t="s">
        <v>38</v>
      </c>
      <c r="C47" s="62"/>
      <c r="D47" s="170">
        <v>2015</v>
      </c>
      <c r="E47" s="175">
        <v>153</v>
      </c>
      <c r="F47" s="173">
        <v>21</v>
      </c>
      <c r="G47" s="175">
        <v>132</v>
      </c>
    </row>
    <row r="48" spans="2:7" ht="15" customHeight="1">
      <c r="B48" s="62"/>
      <c r="C48" s="62"/>
      <c r="D48" s="170">
        <v>2016</v>
      </c>
      <c r="E48" s="175">
        <v>117</v>
      </c>
      <c r="F48" s="175">
        <v>23</v>
      </c>
      <c r="G48" s="175">
        <v>94</v>
      </c>
    </row>
    <row r="49" spans="1:9" ht="15" customHeight="1">
      <c r="B49" s="62"/>
      <c r="C49" s="62"/>
      <c r="D49" s="170">
        <v>2017</v>
      </c>
      <c r="E49" s="175">
        <f>F49+G49</f>
        <v>125</v>
      </c>
      <c r="F49" s="173">
        <v>22</v>
      </c>
      <c r="G49" s="175">
        <v>103</v>
      </c>
    </row>
    <row r="50" spans="1:9" ht="8.1" customHeight="1">
      <c r="B50" s="62"/>
      <c r="C50" s="62"/>
      <c r="D50" s="170"/>
      <c r="E50" s="175"/>
      <c r="F50" s="175"/>
      <c r="G50" s="175"/>
    </row>
    <row r="51" spans="1:9" ht="15" customHeight="1">
      <c r="B51" s="62" t="s">
        <v>40</v>
      </c>
      <c r="C51" s="62"/>
      <c r="D51" s="170">
        <v>2015</v>
      </c>
      <c r="E51" s="175">
        <v>299</v>
      </c>
      <c r="F51" s="175">
        <v>44</v>
      </c>
      <c r="G51" s="175">
        <v>255</v>
      </c>
      <c r="I51" s="15"/>
    </row>
    <row r="52" spans="1:9" ht="15" customHeight="1">
      <c r="B52" s="62"/>
      <c r="C52" s="62"/>
      <c r="D52" s="170">
        <v>2016</v>
      </c>
      <c r="E52" s="175">
        <v>297</v>
      </c>
      <c r="F52" s="173">
        <v>44</v>
      </c>
      <c r="G52" s="175">
        <v>253</v>
      </c>
      <c r="I52" s="15"/>
    </row>
    <row r="53" spans="1:9" ht="15" customHeight="1">
      <c r="B53" s="62"/>
      <c r="C53" s="62"/>
      <c r="D53" s="170">
        <v>2017</v>
      </c>
      <c r="E53" s="175">
        <f>F53+G53</f>
        <v>224</v>
      </c>
      <c r="F53" s="175">
        <v>42</v>
      </c>
      <c r="G53" s="175">
        <v>182</v>
      </c>
      <c r="I53" s="15"/>
    </row>
    <row r="54" spans="1:9" ht="8.1" customHeight="1">
      <c r="B54" s="62"/>
      <c r="C54" s="62"/>
      <c r="D54" s="170"/>
      <c r="E54" s="175"/>
      <c r="F54" s="175"/>
      <c r="G54" s="175"/>
      <c r="I54" s="15"/>
    </row>
    <row r="55" spans="1:9" ht="15" customHeight="1">
      <c r="B55" s="62" t="s">
        <v>39</v>
      </c>
      <c r="C55" s="62"/>
      <c r="D55" s="170">
        <v>2015</v>
      </c>
      <c r="E55" s="175">
        <v>407</v>
      </c>
      <c r="F55" s="175">
        <v>66</v>
      </c>
      <c r="G55" s="175">
        <v>341</v>
      </c>
      <c r="I55" s="15"/>
    </row>
    <row r="56" spans="1:9" ht="15" customHeight="1">
      <c r="B56" s="62"/>
      <c r="C56" s="62"/>
      <c r="D56" s="170">
        <v>2016</v>
      </c>
      <c r="E56" s="175">
        <v>312</v>
      </c>
      <c r="F56" s="173">
        <v>79</v>
      </c>
      <c r="G56" s="175">
        <v>233</v>
      </c>
      <c r="I56" s="15"/>
    </row>
    <row r="57" spans="1:9" ht="15" customHeight="1">
      <c r="A57" s="7"/>
      <c r="B57" s="62"/>
      <c r="C57" s="62"/>
      <c r="D57" s="170">
        <v>2017</v>
      </c>
      <c r="E57" s="175">
        <f>F57+G57</f>
        <v>328</v>
      </c>
      <c r="F57" s="175">
        <v>55</v>
      </c>
      <c r="G57" s="175">
        <v>273</v>
      </c>
      <c r="H57" s="7"/>
      <c r="I57" s="15"/>
    </row>
    <row r="58" spans="1:9" ht="8.1" customHeight="1" thickBot="1">
      <c r="A58" s="34"/>
      <c r="B58" s="16"/>
      <c r="C58" s="16"/>
      <c r="D58" s="140"/>
      <c r="E58" s="12"/>
      <c r="F58" s="33"/>
      <c r="G58" s="12"/>
      <c r="H58" s="34"/>
      <c r="I58" s="15"/>
    </row>
    <row r="59" spans="1:9">
      <c r="D59" s="139"/>
      <c r="G59" s="183" t="s">
        <v>104</v>
      </c>
    </row>
    <row r="60" spans="1:9">
      <c r="D60" s="139"/>
      <c r="G60" s="188" t="s">
        <v>1</v>
      </c>
    </row>
    <row r="61" spans="1:9">
      <c r="D61" s="139"/>
    </row>
    <row r="62" spans="1:9">
      <c r="D62" s="139"/>
    </row>
    <row r="63" spans="1:9">
      <c r="D63" s="139"/>
    </row>
    <row r="64" spans="1:9">
      <c r="D64" s="139"/>
    </row>
    <row r="65" spans="4:4">
      <c r="D65" s="139"/>
    </row>
    <row r="66" spans="4:4">
      <c r="D66" s="139"/>
    </row>
    <row r="67" spans="4:4">
      <c r="D67" s="139"/>
    </row>
    <row r="68" spans="4:4">
      <c r="D68" s="139"/>
    </row>
    <row r="69" spans="4:4">
      <c r="D69" s="139"/>
    </row>
  </sheetData>
  <mergeCells count="6">
    <mergeCell ref="C6:G6"/>
    <mergeCell ref="E8:E9"/>
    <mergeCell ref="F8:F9"/>
    <mergeCell ref="G8:G9"/>
    <mergeCell ref="B8:C9"/>
    <mergeCell ref="D8:D9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0" fitToWidth="0" orientation="portrait" r:id="rId1"/>
  <headerFooter>
    <oddHeader xml:space="preserve">&amp;R&amp;"-,Bold"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76"/>
  <sheetViews>
    <sheetView showGridLines="0" topLeftCell="A30" zoomScaleNormal="100" zoomScaleSheetLayoutView="100" workbookViewId="0">
      <selection activeCell="P43" sqref="P43"/>
    </sheetView>
  </sheetViews>
  <sheetFormatPr defaultColWidth="9.140625" defaultRowHeight="15"/>
  <cols>
    <col min="1" max="1" width="1.7109375" style="2" customWidth="1"/>
    <col min="2" max="2" width="10.7109375" style="3" customWidth="1"/>
    <col min="3" max="3" width="12.28515625" style="3" customWidth="1"/>
    <col min="4" max="4" width="10.85546875" style="3" customWidth="1"/>
    <col min="5" max="5" width="15.7109375" style="21" customWidth="1"/>
    <col min="6" max="7" width="23.7109375" style="22" customWidth="1"/>
    <col min="8" max="8" width="0.85546875" style="2" customWidth="1"/>
    <col min="9" max="16384" width="9.140625" style="2"/>
  </cols>
  <sheetData>
    <row r="1" spans="1:8" s="30" customFormat="1" ht="12" customHeight="1">
      <c r="B1" s="27"/>
      <c r="C1" s="27"/>
      <c r="D1" s="27"/>
      <c r="E1" s="28"/>
      <c r="F1" s="29"/>
      <c r="G1" s="179" t="s">
        <v>188</v>
      </c>
    </row>
    <row r="2" spans="1:8" s="30" customFormat="1" ht="12" customHeight="1">
      <c r="B2" s="27"/>
      <c r="C2" s="27"/>
      <c r="D2" s="27"/>
      <c r="E2" s="28"/>
      <c r="F2" s="29"/>
      <c r="G2" s="180" t="s">
        <v>189</v>
      </c>
    </row>
    <row r="3" spans="1:8" s="30" customFormat="1" ht="12" customHeight="1">
      <c r="B3" s="27"/>
      <c r="C3" s="27"/>
      <c r="D3" s="27"/>
      <c r="E3" s="28"/>
      <c r="F3" s="29"/>
      <c r="G3" s="75"/>
    </row>
    <row r="4" spans="1:8" s="30" customFormat="1" ht="12" customHeight="1">
      <c r="B4" s="27"/>
      <c r="C4" s="27"/>
      <c r="D4" s="27"/>
      <c r="E4" s="28"/>
      <c r="F4" s="29"/>
      <c r="G4" s="75"/>
    </row>
    <row r="5" spans="1:8" s="55" customFormat="1" ht="15" customHeight="1">
      <c r="B5" s="88" t="s">
        <v>92</v>
      </c>
      <c r="C5" s="71" t="s">
        <v>179</v>
      </c>
      <c r="D5" s="71"/>
      <c r="E5" s="70"/>
      <c r="F5" s="71"/>
      <c r="G5" s="71"/>
      <c r="H5" s="71"/>
    </row>
    <row r="6" spans="1:8" s="72" customFormat="1" ht="15" customHeight="1">
      <c r="B6" s="89" t="s">
        <v>93</v>
      </c>
      <c r="C6" s="189" t="s">
        <v>180</v>
      </c>
      <c r="D6" s="189"/>
      <c r="E6" s="189"/>
      <c r="F6" s="189"/>
      <c r="G6" s="189"/>
      <c r="H6" s="74"/>
    </row>
    <row r="7" spans="1:8" ht="9.9499999999999993" customHeight="1" thickBot="1"/>
    <row r="8" spans="1:8" s="55" customFormat="1" ht="20.100000000000001" customHeight="1" thickTop="1">
      <c r="A8" s="53"/>
      <c r="B8" s="196" t="s">
        <v>98</v>
      </c>
      <c r="C8" s="196"/>
      <c r="D8" s="190" t="s">
        <v>100</v>
      </c>
      <c r="E8" s="190" t="s">
        <v>95</v>
      </c>
      <c r="F8" s="192" t="s">
        <v>96</v>
      </c>
      <c r="G8" s="192" t="s">
        <v>97</v>
      </c>
      <c r="H8" s="54"/>
    </row>
    <row r="9" spans="1:8" s="55" customFormat="1" ht="33" customHeight="1" thickBot="1">
      <c r="A9" s="56"/>
      <c r="B9" s="197"/>
      <c r="C9" s="197"/>
      <c r="D9" s="191"/>
      <c r="E9" s="191"/>
      <c r="F9" s="193"/>
      <c r="G9" s="193"/>
      <c r="H9" s="57"/>
    </row>
    <row r="10" spans="1:8" ht="6.95" customHeight="1">
      <c r="A10" s="45"/>
      <c r="B10" s="46"/>
      <c r="C10" s="46"/>
      <c r="D10" s="46"/>
      <c r="E10" s="198"/>
      <c r="F10" s="198"/>
      <c r="G10" s="198"/>
      <c r="H10" s="45"/>
    </row>
    <row r="11" spans="1:8" s="6" customFormat="1" ht="12" customHeight="1">
      <c r="B11" s="68" t="s">
        <v>182</v>
      </c>
      <c r="C11" s="68"/>
      <c r="D11" s="69">
        <v>2015</v>
      </c>
      <c r="E11" s="174">
        <f>E15+E19+E23+E27+E31+E35+E39+E43+E47+E51+E55+E59+E63+E67+E71</f>
        <v>6228</v>
      </c>
      <c r="F11" s="174">
        <f t="shared" ref="F11:G11" si="0">F15+F19+F23+F27+F31+F35+F39+F43+F47+F51+F55+F59+F63+F67+F71</f>
        <v>1288</v>
      </c>
      <c r="G11" s="174">
        <f t="shared" si="0"/>
        <v>4940</v>
      </c>
      <c r="H11" s="24"/>
    </row>
    <row r="12" spans="1:8" s="6" customFormat="1" ht="12" customHeight="1">
      <c r="B12" s="68"/>
      <c r="C12" s="68"/>
      <c r="D12" s="69">
        <v>2016</v>
      </c>
      <c r="E12" s="174">
        <f t="shared" ref="E12:G13" si="1">E16+E20+E24+E28+E32+E36+E40+E44+E48+E52+E56+E60+E64+E68+E72</f>
        <v>5841</v>
      </c>
      <c r="F12" s="174">
        <f t="shared" si="1"/>
        <v>1295</v>
      </c>
      <c r="G12" s="174">
        <f t="shared" si="1"/>
        <v>4546</v>
      </c>
    </row>
    <row r="13" spans="1:8" s="6" customFormat="1" ht="12" customHeight="1">
      <c r="B13" s="68"/>
      <c r="C13" s="68"/>
      <c r="D13" s="69">
        <v>2017</v>
      </c>
      <c r="E13" s="174">
        <f t="shared" si="1"/>
        <v>5326</v>
      </c>
      <c r="F13" s="174">
        <f t="shared" si="1"/>
        <v>1140</v>
      </c>
      <c r="G13" s="174">
        <f t="shared" si="1"/>
        <v>4186</v>
      </c>
    </row>
    <row r="14" spans="1:8" ht="6.95" customHeight="1">
      <c r="A14" s="7"/>
      <c r="B14" s="131"/>
      <c r="C14" s="131"/>
      <c r="D14" s="131"/>
      <c r="E14" s="132"/>
      <c r="F14" s="132"/>
      <c r="G14" s="132"/>
      <c r="H14" s="7"/>
    </row>
    <row r="15" spans="1:8" ht="12" customHeight="1">
      <c r="B15" s="62" t="s">
        <v>69</v>
      </c>
      <c r="C15" s="62"/>
      <c r="D15" s="170">
        <v>2015</v>
      </c>
      <c r="E15" s="175">
        <v>133</v>
      </c>
      <c r="F15" s="175">
        <v>26</v>
      </c>
      <c r="G15" s="175">
        <v>107</v>
      </c>
      <c r="H15" s="7"/>
    </row>
    <row r="16" spans="1:8" ht="12" customHeight="1">
      <c r="B16" s="62"/>
      <c r="C16" s="62"/>
      <c r="D16" s="170">
        <v>2016</v>
      </c>
      <c r="E16" s="175">
        <v>120</v>
      </c>
      <c r="F16" s="175">
        <v>28</v>
      </c>
      <c r="G16" s="175">
        <v>92</v>
      </c>
    </row>
    <row r="17" spans="2:8" ht="12" customHeight="1">
      <c r="B17" s="62"/>
      <c r="C17" s="62"/>
      <c r="D17" s="170">
        <v>2017</v>
      </c>
      <c r="E17" s="175">
        <v>91</v>
      </c>
      <c r="F17" s="175">
        <v>23</v>
      </c>
      <c r="G17" s="175">
        <v>68</v>
      </c>
    </row>
    <row r="18" spans="2:8" ht="6.95" customHeight="1">
      <c r="B18" s="62"/>
      <c r="C18" s="62"/>
      <c r="D18" s="170"/>
      <c r="E18" s="175"/>
      <c r="F18" s="175"/>
      <c r="G18" s="175"/>
    </row>
    <row r="19" spans="2:8" ht="12" customHeight="1">
      <c r="B19" s="62" t="s">
        <v>70</v>
      </c>
      <c r="C19" s="62"/>
      <c r="D19" s="170">
        <v>2015</v>
      </c>
      <c r="E19" s="175">
        <v>90</v>
      </c>
      <c r="F19" s="175">
        <v>13</v>
      </c>
      <c r="G19" s="175">
        <v>77</v>
      </c>
    </row>
    <row r="20" spans="2:8" ht="12" customHeight="1">
      <c r="B20" s="62"/>
      <c r="C20" s="62"/>
      <c r="D20" s="170">
        <v>2016</v>
      </c>
      <c r="E20" s="175">
        <v>86</v>
      </c>
      <c r="F20" s="175">
        <v>15</v>
      </c>
      <c r="G20" s="175">
        <v>71</v>
      </c>
    </row>
    <row r="21" spans="2:8" ht="12" customHeight="1">
      <c r="B21" s="62"/>
      <c r="C21" s="62"/>
      <c r="D21" s="170">
        <v>2017</v>
      </c>
      <c r="E21" s="175">
        <v>78</v>
      </c>
      <c r="F21" s="175">
        <v>16</v>
      </c>
      <c r="G21" s="175">
        <v>62</v>
      </c>
    </row>
    <row r="22" spans="2:8" ht="6.95" customHeight="1">
      <c r="B22" s="62"/>
      <c r="C22" s="62"/>
      <c r="D22" s="170"/>
      <c r="E22" s="175"/>
      <c r="F22" s="175"/>
      <c r="G22" s="175"/>
    </row>
    <row r="23" spans="2:8" ht="12" customHeight="1">
      <c r="B23" s="62" t="s">
        <v>46</v>
      </c>
      <c r="C23" s="62"/>
      <c r="D23" s="170">
        <v>2015</v>
      </c>
      <c r="E23" s="175">
        <v>589</v>
      </c>
      <c r="F23" s="175">
        <v>152</v>
      </c>
      <c r="G23" s="175">
        <v>437</v>
      </c>
    </row>
    <row r="24" spans="2:8" ht="12" customHeight="1">
      <c r="B24" s="62"/>
      <c r="C24" s="62"/>
      <c r="D24" s="170">
        <v>2016</v>
      </c>
      <c r="E24" s="175">
        <v>602</v>
      </c>
      <c r="F24" s="175">
        <v>140</v>
      </c>
      <c r="G24" s="175">
        <v>462</v>
      </c>
    </row>
    <row r="25" spans="2:8" ht="12" customHeight="1">
      <c r="B25" s="62"/>
      <c r="C25" s="62"/>
      <c r="D25" s="170">
        <v>2017</v>
      </c>
      <c r="E25" s="175">
        <v>560</v>
      </c>
      <c r="F25" s="175">
        <v>128</v>
      </c>
      <c r="G25" s="175">
        <v>432</v>
      </c>
    </row>
    <row r="26" spans="2:8" ht="6.95" customHeight="1">
      <c r="B26" s="62"/>
      <c r="C26" s="62"/>
      <c r="D26" s="170"/>
      <c r="E26" s="175"/>
      <c r="F26" s="175"/>
      <c r="G26" s="175"/>
    </row>
    <row r="27" spans="2:8" ht="12" customHeight="1">
      <c r="B27" s="62" t="s">
        <v>71</v>
      </c>
      <c r="C27" s="62"/>
      <c r="D27" s="170">
        <v>2015</v>
      </c>
      <c r="E27" s="175">
        <v>2426</v>
      </c>
      <c r="F27" s="175">
        <v>537</v>
      </c>
      <c r="G27" s="175">
        <v>1889</v>
      </c>
    </row>
    <row r="28" spans="2:8" s="3" customFormat="1" ht="12" customHeight="1">
      <c r="B28" s="62"/>
      <c r="C28" s="62"/>
      <c r="D28" s="170">
        <v>2016</v>
      </c>
      <c r="E28" s="175">
        <v>2201</v>
      </c>
      <c r="F28" s="175">
        <v>508</v>
      </c>
      <c r="G28" s="175">
        <v>1693</v>
      </c>
      <c r="H28" s="2"/>
    </row>
    <row r="29" spans="2:8" ht="12" customHeight="1">
      <c r="B29" s="62"/>
      <c r="C29" s="62"/>
      <c r="D29" s="170">
        <v>2017</v>
      </c>
      <c r="E29" s="175">
        <v>2081</v>
      </c>
      <c r="F29" s="175">
        <v>450</v>
      </c>
      <c r="G29" s="175">
        <v>1631</v>
      </c>
    </row>
    <row r="30" spans="2:8" ht="6.95" customHeight="1">
      <c r="B30" s="62"/>
      <c r="C30" s="62"/>
      <c r="D30" s="170"/>
      <c r="E30" s="175"/>
      <c r="F30" s="175"/>
      <c r="G30" s="175"/>
    </row>
    <row r="31" spans="2:8" ht="12" customHeight="1">
      <c r="B31" s="62" t="s">
        <v>48</v>
      </c>
      <c r="C31" s="62"/>
      <c r="D31" s="170">
        <v>2015</v>
      </c>
      <c r="E31" s="175">
        <v>213</v>
      </c>
      <c r="F31" s="175">
        <v>48</v>
      </c>
      <c r="G31" s="175">
        <v>165</v>
      </c>
    </row>
    <row r="32" spans="2:8" ht="12" customHeight="1">
      <c r="B32" s="62"/>
      <c r="C32" s="62"/>
      <c r="D32" s="170">
        <v>2016</v>
      </c>
      <c r="E32" s="175">
        <v>195</v>
      </c>
      <c r="F32" s="175">
        <v>41</v>
      </c>
      <c r="G32" s="175">
        <v>154</v>
      </c>
    </row>
    <row r="33" spans="2:7" ht="12" customHeight="1">
      <c r="B33" s="62"/>
      <c r="C33" s="62"/>
      <c r="D33" s="170">
        <v>2017</v>
      </c>
      <c r="E33" s="175">
        <v>182</v>
      </c>
      <c r="F33" s="175">
        <v>36</v>
      </c>
      <c r="G33" s="175">
        <v>146</v>
      </c>
    </row>
    <row r="34" spans="2:7" ht="6.95" customHeight="1">
      <c r="B34" s="62"/>
      <c r="C34" s="62"/>
      <c r="D34" s="170"/>
      <c r="E34" s="175"/>
      <c r="F34" s="175"/>
      <c r="G34" s="175"/>
    </row>
    <row r="35" spans="2:7" ht="12" customHeight="1">
      <c r="B35" s="62" t="s">
        <v>44</v>
      </c>
      <c r="C35" s="62"/>
      <c r="D35" s="170">
        <v>2015</v>
      </c>
      <c r="E35" s="175">
        <v>223</v>
      </c>
      <c r="F35" s="175">
        <v>36</v>
      </c>
      <c r="G35" s="175">
        <v>187</v>
      </c>
    </row>
    <row r="36" spans="2:7" ht="12" customHeight="1">
      <c r="B36" s="62"/>
      <c r="C36" s="62"/>
      <c r="D36" s="170">
        <v>2016</v>
      </c>
      <c r="E36" s="175">
        <v>229</v>
      </c>
      <c r="F36" s="175">
        <v>51</v>
      </c>
      <c r="G36" s="175">
        <v>178</v>
      </c>
    </row>
    <row r="37" spans="2:7" ht="12" customHeight="1">
      <c r="B37" s="62"/>
      <c r="C37" s="62"/>
      <c r="D37" s="170">
        <v>2017</v>
      </c>
      <c r="E37" s="175">
        <v>195</v>
      </c>
      <c r="F37" s="175">
        <v>39</v>
      </c>
      <c r="G37" s="175">
        <v>156</v>
      </c>
    </row>
    <row r="38" spans="2:7" ht="6.95" customHeight="1">
      <c r="B38" s="62"/>
      <c r="C38" s="62"/>
      <c r="D38" s="170"/>
      <c r="E38" s="175"/>
      <c r="F38" s="175"/>
      <c r="G38" s="175"/>
    </row>
    <row r="39" spans="2:7" ht="12" customHeight="1">
      <c r="B39" s="62" t="s">
        <v>45</v>
      </c>
      <c r="C39" s="62"/>
      <c r="D39" s="170">
        <v>2015</v>
      </c>
      <c r="E39" s="175">
        <v>199</v>
      </c>
      <c r="F39" s="175">
        <v>25</v>
      </c>
      <c r="G39" s="175">
        <v>174</v>
      </c>
    </row>
    <row r="40" spans="2:7" ht="12" customHeight="1">
      <c r="B40" s="62"/>
      <c r="C40" s="62"/>
      <c r="D40" s="170">
        <v>2016</v>
      </c>
      <c r="E40" s="175">
        <v>170</v>
      </c>
      <c r="F40" s="175">
        <v>26</v>
      </c>
      <c r="G40" s="175">
        <v>144</v>
      </c>
    </row>
    <row r="41" spans="2:7" ht="12" customHeight="1">
      <c r="B41" s="62"/>
      <c r="C41" s="62"/>
      <c r="D41" s="170">
        <v>2017</v>
      </c>
      <c r="E41" s="175">
        <v>139</v>
      </c>
      <c r="F41" s="175">
        <v>21</v>
      </c>
      <c r="G41" s="175">
        <v>118</v>
      </c>
    </row>
    <row r="42" spans="2:7" ht="6.95" customHeight="1">
      <c r="B42" s="62"/>
      <c r="C42" s="62"/>
      <c r="D42" s="170"/>
      <c r="E42" s="175"/>
      <c r="F42" s="173"/>
      <c r="G42" s="173"/>
    </row>
    <row r="43" spans="2:7" ht="12" customHeight="1">
      <c r="B43" s="62" t="s">
        <v>43</v>
      </c>
      <c r="C43" s="62"/>
      <c r="D43" s="170">
        <v>2015</v>
      </c>
      <c r="E43" s="175">
        <v>687</v>
      </c>
      <c r="F43" s="175">
        <v>104</v>
      </c>
      <c r="G43" s="175">
        <v>583</v>
      </c>
    </row>
    <row r="44" spans="2:7" ht="12" customHeight="1">
      <c r="B44" s="62"/>
      <c r="C44" s="62"/>
      <c r="D44" s="170">
        <v>2016</v>
      </c>
      <c r="E44" s="175">
        <v>679</v>
      </c>
      <c r="F44" s="175">
        <v>105</v>
      </c>
      <c r="G44" s="175">
        <v>574</v>
      </c>
    </row>
    <row r="45" spans="2:7" ht="12" customHeight="1">
      <c r="B45" s="62"/>
      <c r="C45" s="62"/>
      <c r="D45" s="170">
        <v>2017</v>
      </c>
      <c r="E45" s="175">
        <v>622</v>
      </c>
      <c r="F45" s="175">
        <v>116</v>
      </c>
      <c r="G45" s="175">
        <v>506</v>
      </c>
    </row>
    <row r="46" spans="2:7" ht="6.95" customHeight="1">
      <c r="B46" s="62"/>
      <c r="C46" s="62"/>
      <c r="D46" s="170"/>
      <c r="E46" s="175"/>
      <c r="F46" s="175"/>
      <c r="G46" s="175"/>
    </row>
    <row r="47" spans="2:7" ht="12" customHeight="1">
      <c r="B47" s="62" t="s">
        <v>72</v>
      </c>
      <c r="C47" s="62"/>
      <c r="D47" s="170">
        <v>2015</v>
      </c>
      <c r="E47" s="175">
        <v>37</v>
      </c>
      <c r="F47" s="173">
        <v>6</v>
      </c>
      <c r="G47" s="173">
        <v>31</v>
      </c>
    </row>
    <row r="48" spans="2:7" ht="12" customHeight="1">
      <c r="B48" s="62"/>
      <c r="C48" s="62"/>
      <c r="D48" s="170">
        <v>2016</v>
      </c>
      <c r="E48" s="175">
        <v>27</v>
      </c>
      <c r="F48" s="175">
        <v>1</v>
      </c>
      <c r="G48" s="175">
        <v>26</v>
      </c>
    </row>
    <row r="49" spans="2:7" ht="12" customHeight="1">
      <c r="B49" s="62"/>
      <c r="C49" s="62"/>
      <c r="D49" s="170">
        <v>2017</v>
      </c>
      <c r="E49" s="175">
        <v>15</v>
      </c>
      <c r="F49" s="173">
        <v>2</v>
      </c>
      <c r="G49" s="173">
        <v>13</v>
      </c>
    </row>
    <row r="50" spans="2:7" ht="6.95" customHeight="1">
      <c r="B50" s="62"/>
      <c r="C50" s="62"/>
      <c r="D50" s="170"/>
      <c r="E50" s="175"/>
      <c r="F50" s="175"/>
      <c r="G50" s="175"/>
    </row>
    <row r="51" spans="2:7" ht="12" customHeight="1">
      <c r="B51" s="62" t="s">
        <v>47</v>
      </c>
      <c r="C51" s="62"/>
      <c r="D51" s="170">
        <v>2015</v>
      </c>
      <c r="E51" s="175">
        <v>242</v>
      </c>
      <c r="F51" s="175">
        <v>26</v>
      </c>
      <c r="G51" s="175">
        <v>216</v>
      </c>
    </row>
    <row r="52" spans="2:7" ht="12" customHeight="1">
      <c r="B52" s="62"/>
      <c r="C52" s="62"/>
      <c r="D52" s="170">
        <v>2016</v>
      </c>
      <c r="E52" s="175">
        <v>207</v>
      </c>
      <c r="F52" s="175">
        <v>20</v>
      </c>
      <c r="G52" s="175">
        <v>187</v>
      </c>
    </row>
    <row r="53" spans="2:7" ht="12" customHeight="1">
      <c r="B53" s="62"/>
      <c r="C53" s="62"/>
      <c r="D53" s="170">
        <v>2017</v>
      </c>
      <c r="E53" s="175">
        <v>140</v>
      </c>
      <c r="F53" s="175">
        <v>24</v>
      </c>
      <c r="G53" s="175">
        <v>116</v>
      </c>
    </row>
    <row r="54" spans="2:7" ht="6.95" customHeight="1">
      <c r="B54" s="62"/>
      <c r="C54" s="62"/>
      <c r="D54" s="170"/>
      <c r="E54" s="175"/>
      <c r="F54" s="175"/>
      <c r="G54" s="175"/>
    </row>
    <row r="55" spans="2:7" ht="12" customHeight="1">
      <c r="B55" s="62" t="s">
        <v>73</v>
      </c>
      <c r="C55" s="62"/>
      <c r="D55" s="170">
        <v>2015</v>
      </c>
      <c r="E55" s="175">
        <v>39</v>
      </c>
      <c r="F55" s="175">
        <v>5</v>
      </c>
      <c r="G55" s="175">
        <v>34</v>
      </c>
    </row>
    <row r="56" spans="2:7" ht="12" customHeight="1">
      <c r="B56" s="62"/>
      <c r="C56" s="62"/>
      <c r="D56" s="170">
        <v>2016</v>
      </c>
      <c r="E56" s="175">
        <v>39</v>
      </c>
      <c r="F56" s="173">
        <v>9</v>
      </c>
      <c r="G56" s="175">
        <v>30</v>
      </c>
    </row>
    <row r="57" spans="2:7" ht="12" customHeight="1">
      <c r="B57" s="62"/>
      <c r="C57" s="62"/>
      <c r="D57" s="170">
        <v>2017</v>
      </c>
      <c r="E57" s="175">
        <v>26</v>
      </c>
      <c r="F57" s="175">
        <v>3</v>
      </c>
      <c r="G57" s="175">
        <v>23</v>
      </c>
    </row>
    <row r="58" spans="2:7" ht="6.95" customHeight="1">
      <c r="B58" s="62"/>
      <c r="C58" s="62"/>
      <c r="D58" s="170"/>
      <c r="E58" s="175"/>
      <c r="F58" s="173"/>
      <c r="G58" s="173"/>
    </row>
    <row r="59" spans="2:7" ht="12" customHeight="1">
      <c r="B59" s="62" t="s">
        <v>74</v>
      </c>
      <c r="C59" s="62"/>
      <c r="D59" s="170">
        <v>2015</v>
      </c>
      <c r="E59" s="175">
        <v>130</v>
      </c>
      <c r="F59" s="175">
        <v>48</v>
      </c>
      <c r="G59" s="175">
        <v>82</v>
      </c>
    </row>
    <row r="60" spans="2:7" ht="12" customHeight="1">
      <c r="B60" s="62"/>
      <c r="C60" s="62"/>
      <c r="D60" s="170">
        <v>2016</v>
      </c>
      <c r="E60" s="175">
        <v>133</v>
      </c>
      <c r="F60" s="175">
        <v>34</v>
      </c>
      <c r="G60" s="175">
        <v>99</v>
      </c>
    </row>
    <row r="61" spans="2:7" ht="12" customHeight="1">
      <c r="B61" s="62"/>
      <c r="C61" s="62"/>
      <c r="D61" s="170">
        <v>2017</v>
      </c>
      <c r="E61" s="175">
        <v>135</v>
      </c>
      <c r="F61" s="175">
        <v>31</v>
      </c>
      <c r="G61" s="175">
        <v>104</v>
      </c>
    </row>
    <row r="62" spans="2:7" ht="6.95" customHeight="1">
      <c r="B62" s="62"/>
      <c r="C62" s="62"/>
      <c r="D62" s="170"/>
      <c r="E62" s="175"/>
      <c r="F62" s="175"/>
      <c r="G62" s="175"/>
    </row>
    <row r="63" spans="2:7" ht="12" customHeight="1">
      <c r="B63" s="62" t="s">
        <v>75</v>
      </c>
      <c r="C63" s="62"/>
      <c r="D63" s="170">
        <v>2015</v>
      </c>
      <c r="E63" s="175">
        <v>819</v>
      </c>
      <c r="F63" s="175">
        <v>171</v>
      </c>
      <c r="G63" s="175">
        <v>648</v>
      </c>
    </row>
    <row r="64" spans="2:7" ht="12" customHeight="1">
      <c r="B64" s="62"/>
      <c r="C64" s="62"/>
      <c r="D64" s="170">
        <v>2016</v>
      </c>
      <c r="E64" s="175">
        <v>796</v>
      </c>
      <c r="F64" s="175">
        <v>212</v>
      </c>
      <c r="G64" s="175">
        <v>584</v>
      </c>
    </row>
    <row r="65" spans="1:8" ht="12" customHeight="1">
      <c r="A65" s="7"/>
      <c r="B65" s="62"/>
      <c r="C65" s="62"/>
      <c r="D65" s="170">
        <v>2017</v>
      </c>
      <c r="E65" s="175">
        <v>731</v>
      </c>
      <c r="F65" s="175">
        <v>170</v>
      </c>
      <c r="G65" s="175">
        <v>561</v>
      </c>
      <c r="H65" s="7"/>
    </row>
    <row r="66" spans="1:8" ht="6.95" customHeight="1">
      <c r="A66" s="7"/>
      <c r="B66" s="62"/>
      <c r="C66" s="62"/>
      <c r="D66" s="170"/>
      <c r="E66" s="175"/>
      <c r="F66" s="175"/>
      <c r="G66" s="175"/>
      <c r="H66" s="7"/>
    </row>
    <row r="67" spans="1:8" s="19" customFormat="1" ht="12" customHeight="1">
      <c r="A67" s="18"/>
      <c r="B67" s="62" t="s">
        <v>76</v>
      </c>
      <c r="C67" s="62"/>
      <c r="D67" s="170">
        <v>2015</v>
      </c>
      <c r="E67" s="175">
        <v>189</v>
      </c>
      <c r="F67" s="175">
        <v>31</v>
      </c>
      <c r="G67" s="172">
        <v>158</v>
      </c>
      <c r="H67" s="18"/>
    </row>
    <row r="68" spans="1:8" ht="12" customHeight="1">
      <c r="B68" s="62"/>
      <c r="C68" s="62"/>
      <c r="D68" s="170">
        <v>2016</v>
      </c>
      <c r="E68" s="175">
        <v>156</v>
      </c>
      <c r="F68" s="173">
        <v>44</v>
      </c>
      <c r="G68" s="175">
        <v>112</v>
      </c>
    </row>
    <row r="69" spans="1:8" ht="12" customHeight="1">
      <c r="B69" s="62"/>
      <c r="C69" s="62"/>
      <c r="D69" s="170">
        <v>2017</v>
      </c>
      <c r="E69" s="175">
        <v>148</v>
      </c>
      <c r="F69" s="175">
        <v>31</v>
      </c>
      <c r="G69" s="172">
        <v>117</v>
      </c>
    </row>
    <row r="70" spans="1:8" ht="6.95" customHeight="1">
      <c r="B70" s="62"/>
      <c r="C70" s="62"/>
      <c r="D70" s="170"/>
      <c r="E70" s="175"/>
      <c r="F70" s="175"/>
      <c r="G70" s="175"/>
    </row>
    <row r="71" spans="1:8" ht="12" customHeight="1">
      <c r="B71" s="62" t="s">
        <v>77</v>
      </c>
      <c r="C71" s="62"/>
      <c r="D71" s="170">
        <v>2015</v>
      </c>
      <c r="E71" s="175">
        <v>212</v>
      </c>
      <c r="F71" s="175">
        <v>60</v>
      </c>
      <c r="G71" s="175">
        <v>152</v>
      </c>
    </row>
    <row r="72" spans="1:8" ht="12" customHeight="1">
      <c r="B72" s="62"/>
      <c r="C72" s="62"/>
      <c r="D72" s="170">
        <v>2016</v>
      </c>
      <c r="E72" s="175">
        <v>201</v>
      </c>
      <c r="F72" s="175">
        <v>61</v>
      </c>
      <c r="G72" s="175">
        <v>140</v>
      </c>
    </row>
    <row r="73" spans="1:8" ht="12" customHeight="1">
      <c r="B73" s="62"/>
      <c r="C73" s="62"/>
      <c r="D73" s="170">
        <v>2017</v>
      </c>
      <c r="E73" s="175">
        <v>183</v>
      </c>
      <c r="F73" s="175">
        <v>50</v>
      </c>
      <c r="G73" s="175">
        <v>133</v>
      </c>
    </row>
    <row r="74" spans="1:8" ht="6.95" customHeight="1" thickBot="1">
      <c r="A74" s="34"/>
      <c r="B74" s="64"/>
      <c r="C74" s="64"/>
      <c r="D74" s="64"/>
      <c r="E74" s="77"/>
      <c r="F74" s="65"/>
      <c r="G74" s="65"/>
      <c r="H74" s="34"/>
    </row>
    <row r="75" spans="1:8">
      <c r="G75" s="8" t="s">
        <v>104</v>
      </c>
    </row>
    <row r="76" spans="1:8">
      <c r="G76" s="41" t="s">
        <v>1</v>
      </c>
    </row>
  </sheetData>
  <mergeCells count="7">
    <mergeCell ref="C6:G6"/>
    <mergeCell ref="E10:G10"/>
    <mergeCell ref="E8:E9"/>
    <mergeCell ref="F8:F9"/>
    <mergeCell ref="G8:G9"/>
    <mergeCell ref="B8:C9"/>
    <mergeCell ref="D8:D9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0" fitToWidth="0" orientation="portrait" r:id="rId1"/>
  <headerFooter>
    <oddHeader xml:space="preserve">&amp;R&amp;"-,Bold"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69"/>
  <sheetViews>
    <sheetView showGridLines="0" topLeftCell="A25" zoomScaleNormal="100" zoomScaleSheetLayoutView="100" workbookViewId="0">
      <selection activeCell="P43" sqref="P43"/>
    </sheetView>
  </sheetViews>
  <sheetFormatPr defaultColWidth="9.140625" defaultRowHeight="15"/>
  <cols>
    <col min="1" max="1" width="1.7109375" style="30" customWidth="1"/>
    <col min="2" max="2" width="11.28515625" style="27" customWidth="1"/>
    <col min="3" max="3" width="16.85546875" style="27" customWidth="1"/>
    <col min="4" max="4" width="10.85546875" style="27" customWidth="1"/>
    <col min="5" max="5" width="15.7109375" style="28" customWidth="1"/>
    <col min="6" max="7" width="23.7109375" style="29" customWidth="1"/>
    <col min="8" max="8" width="0.85546875" style="30" customWidth="1"/>
    <col min="9" max="16384" width="9.140625" style="30"/>
  </cols>
  <sheetData>
    <row r="1" spans="1:8" ht="12" customHeight="1">
      <c r="G1" s="179" t="s">
        <v>188</v>
      </c>
    </row>
    <row r="2" spans="1:8" ht="12" customHeight="1">
      <c r="G2" s="180" t="s">
        <v>189</v>
      </c>
    </row>
    <row r="3" spans="1:8" ht="12" customHeight="1">
      <c r="G3" s="75"/>
    </row>
    <row r="4" spans="1:8" ht="12" customHeight="1">
      <c r="G4" s="75"/>
    </row>
    <row r="5" spans="1:8" s="55" customFormat="1" ht="15" customHeight="1">
      <c r="B5" s="88" t="s">
        <v>92</v>
      </c>
      <c r="C5" s="71" t="s">
        <v>179</v>
      </c>
      <c r="D5" s="71"/>
      <c r="E5" s="70"/>
      <c r="F5" s="71"/>
      <c r="G5" s="71"/>
      <c r="H5" s="71"/>
    </row>
    <row r="6" spans="1:8" s="72" customFormat="1" ht="15" customHeight="1">
      <c r="B6" s="89" t="s">
        <v>93</v>
      </c>
      <c r="C6" s="189" t="s">
        <v>180</v>
      </c>
      <c r="D6" s="189"/>
      <c r="E6" s="189"/>
      <c r="F6" s="189"/>
      <c r="G6" s="189"/>
      <c r="H6" s="74"/>
    </row>
    <row r="7" spans="1:8" s="2" customFormat="1" ht="9.9499999999999993" customHeight="1" thickBot="1">
      <c r="B7" s="3"/>
      <c r="C7" s="3"/>
      <c r="D7" s="3"/>
      <c r="E7" s="21"/>
      <c r="F7" s="22"/>
      <c r="G7" s="22"/>
    </row>
    <row r="8" spans="1:8" s="55" customFormat="1" ht="20.100000000000001" customHeight="1" thickTop="1">
      <c r="A8" s="53"/>
      <c r="B8" s="196" t="s">
        <v>98</v>
      </c>
      <c r="C8" s="196"/>
      <c r="D8" s="190" t="s">
        <v>100</v>
      </c>
      <c r="E8" s="190" t="s">
        <v>95</v>
      </c>
      <c r="F8" s="192" t="s">
        <v>96</v>
      </c>
      <c r="G8" s="192" t="s">
        <v>97</v>
      </c>
      <c r="H8" s="54"/>
    </row>
    <row r="9" spans="1:8" s="55" customFormat="1" ht="33" customHeight="1">
      <c r="A9" s="56"/>
      <c r="B9" s="197"/>
      <c r="C9" s="197"/>
      <c r="D9" s="191"/>
      <c r="E9" s="191"/>
      <c r="F9" s="193"/>
      <c r="G9" s="193"/>
      <c r="H9" s="57"/>
    </row>
    <row r="10" spans="1:8" s="55" customFormat="1" ht="8.1" customHeight="1">
      <c r="A10" s="95"/>
      <c r="B10" s="96"/>
      <c r="C10" s="96"/>
      <c r="D10" s="97"/>
      <c r="E10" s="97"/>
      <c r="F10" s="98"/>
      <c r="G10" s="98"/>
      <c r="H10" s="99"/>
    </row>
    <row r="11" spans="1:8" s="31" customFormat="1" ht="15.95" customHeight="1">
      <c r="A11" s="90"/>
      <c r="B11" s="133" t="s">
        <v>49</v>
      </c>
      <c r="C11" s="133"/>
      <c r="D11" s="130">
        <v>2015</v>
      </c>
      <c r="E11" s="174">
        <f>E15+E19+E23</f>
        <v>741</v>
      </c>
      <c r="F11" s="174">
        <f t="shared" ref="F11:G11" si="0">F15+F19+F23</f>
        <v>142</v>
      </c>
      <c r="G11" s="174">
        <f t="shared" si="0"/>
        <v>599</v>
      </c>
    </row>
    <row r="12" spans="1:8" s="31" customFormat="1" ht="15.95" customHeight="1">
      <c r="A12" s="90"/>
      <c r="B12" s="133"/>
      <c r="C12" s="133"/>
      <c r="D12" s="130">
        <v>2016</v>
      </c>
      <c r="E12" s="174">
        <f t="shared" ref="E12:G12" si="1">E16+E20+E24</f>
        <v>655</v>
      </c>
      <c r="F12" s="174">
        <f t="shared" si="1"/>
        <v>109</v>
      </c>
      <c r="G12" s="174">
        <f t="shared" si="1"/>
        <v>546</v>
      </c>
    </row>
    <row r="13" spans="1:8" s="31" customFormat="1" ht="15.95" customHeight="1">
      <c r="A13" s="90"/>
      <c r="B13" s="133"/>
      <c r="C13" s="133"/>
      <c r="D13" s="130">
        <v>2017</v>
      </c>
      <c r="E13" s="174">
        <f>F13+G13</f>
        <v>603</v>
      </c>
      <c r="F13" s="174">
        <f>F17+F21+F25</f>
        <v>132</v>
      </c>
      <c r="G13" s="174">
        <f>G17+G21+G25</f>
        <v>471</v>
      </c>
    </row>
    <row r="14" spans="1:8" s="31" customFormat="1" ht="8.1" customHeight="1">
      <c r="B14" s="39"/>
      <c r="C14" s="40"/>
      <c r="D14" s="40"/>
      <c r="E14" s="9"/>
      <c r="F14" s="11"/>
      <c r="G14" s="10"/>
    </row>
    <row r="15" spans="1:8" s="31" customFormat="1" ht="15.95" customHeight="1">
      <c r="A15" s="90"/>
      <c r="B15" s="91" t="s">
        <v>78</v>
      </c>
      <c r="C15" s="91"/>
      <c r="D15" s="177">
        <v>2015</v>
      </c>
      <c r="E15" s="175">
        <v>184</v>
      </c>
      <c r="F15" s="173">
        <v>36</v>
      </c>
      <c r="G15" s="175">
        <v>148</v>
      </c>
    </row>
    <row r="16" spans="1:8" s="31" customFormat="1" ht="15.95" customHeight="1">
      <c r="A16" s="90"/>
      <c r="B16" s="91"/>
      <c r="C16" s="91"/>
      <c r="D16" s="177">
        <v>2016</v>
      </c>
      <c r="E16" s="175">
        <v>154</v>
      </c>
      <c r="F16" s="173">
        <v>34</v>
      </c>
      <c r="G16" s="175">
        <v>120</v>
      </c>
    </row>
    <row r="17" spans="1:8" s="31" customFormat="1" ht="15.95" customHeight="1">
      <c r="A17" s="90"/>
      <c r="B17" s="91"/>
      <c r="C17" s="91"/>
      <c r="D17" s="177">
        <v>2017</v>
      </c>
      <c r="E17" s="175">
        <v>134</v>
      </c>
      <c r="F17" s="173">
        <v>37</v>
      </c>
      <c r="G17" s="175">
        <v>97</v>
      </c>
    </row>
    <row r="18" spans="1:8" s="31" customFormat="1" ht="8.1" customHeight="1">
      <c r="A18" s="90"/>
      <c r="B18" s="91"/>
      <c r="C18" s="91"/>
      <c r="D18" s="177"/>
      <c r="E18" s="175"/>
      <c r="F18" s="173"/>
      <c r="G18" s="175"/>
    </row>
    <row r="19" spans="1:8" s="31" customFormat="1" ht="15.95" customHeight="1">
      <c r="A19" s="90"/>
      <c r="B19" s="91" t="s">
        <v>79</v>
      </c>
      <c r="C19" s="91"/>
      <c r="D19" s="177">
        <v>2015</v>
      </c>
      <c r="E19" s="175">
        <v>453</v>
      </c>
      <c r="F19" s="175">
        <v>83</v>
      </c>
      <c r="G19" s="175">
        <v>370</v>
      </c>
    </row>
    <row r="20" spans="1:8" s="31" customFormat="1" ht="15.95" customHeight="1">
      <c r="A20" s="90"/>
      <c r="B20" s="91"/>
      <c r="C20" s="91"/>
      <c r="D20" s="177">
        <v>2016</v>
      </c>
      <c r="E20" s="175">
        <v>414</v>
      </c>
      <c r="F20" s="173">
        <v>53</v>
      </c>
      <c r="G20" s="175">
        <v>361</v>
      </c>
    </row>
    <row r="21" spans="1:8" s="31" customFormat="1" ht="15.95" customHeight="1">
      <c r="A21" s="90"/>
      <c r="B21" s="91"/>
      <c r="C21" s="91"/>
      <c r="D21" s="177">
        <v>2017</v>
      </c>
      <c r="E21" s="175">
        <v>361</v>
      </c>
      <c r="F21" s="175">
        <v>64</v>
      </c>
      <c r="G21" s="175">
        <v>297</v>
      </c>
    </row>
    <row r="22" spans="1:8" s="31" customFormat="1" ht="8.1" customHeight="1">
      <c r="A22" s="90"/>
      <c r="B22" s="91"/>
      <c r="C22" s="91"/>
      <c r="D22" s="177"/>
      <c r="E22" s="175"/>
      <c r="F22" s="173"/>
      <c r="G22" s="175"/>
    </row>
    <row r="23" spans="1:8" s="31" customFormat="1" ht="15.95" customHeight="1">
      <c r="A23" s="90"/>
      <c r="B23" s="91" t="s">
        <v>80</v>
      </c>
      <c r="C23" s="91"/>
      <c r="D23" s="177">
        <v>2015</v>
      </c>
      <c r="E23" s="175">
        <v>104</v>
      </c>
      <c r="F23" s="173">
        <v>23</v>
      </c>
      <c r="G23" s="175">
        <v>81</v>
      </c>
    </row>
    <row r="24" spans="1:8" s="31" customFormat="1" ht="15.95" customHeight="1">
      <c r="A24" s="90"/>
      <c r="B24" s="91"/>
      <c r="C24" s="91"/>
      <c r="D24" s="177">
        <v>2016</v>
      </c>
      <c r="E24" s="175">
        <v>87</v>
      </c>
      <c r="F24" s="173">
        <v>22</v>
      </c>
      <c r="G24" s="175">
        <v>65</v>
      </c>
    </row>
    <row r="25" spans="1:8" s="31" customFormat="1" ht="15.95" customHeight="1">
      <c r="A25" s="90"/>
      <c r="B25" s="91"/>
      <c r="C25" s="91"/>
      <c r="D25" s="177">
        <v>2017</v>
      </c>
      <c r="E25" s="175">
        <v>108</v>
      </c>
      <c r="F25" s="173">
        <v>31</v>
      </c>
      <c r="G25" s="175">
        <v>77</v>
      </c>
    </row>
    <row r="26" spans="1:8" s="31" customFormat="1" ht="8.1" customHeight="1">
      <c r="A26" s="49"/>
      <c r="B26" s="20"/>
      <c r="C26" s="20"/>
      <c r="D26" s="143"/>
      <c r="E26" s="17"/>
      <c r="F26" s="23"/>
      <c r="G26" s="17"/>
    </row>
    <row r="27" spans="1:8" s="31" customFormat="1" ht="8.1" customHeight="1">
      <c r="A27" s="38"/>
      <c r="B27" s="14"/>
      <c r="C27" s="14"/>
      <c r="D27" s="144"/>
      <c r="E27" s="10"/>
      <c r="F27" s="11"/>
      <c r="G27" s="10"/>
      <c r="H27" s="36"/>
    </row>
    <row r="28" spans="1:8" s="31" customFormat="1" ht="15.95" customHeight="1">
      <c r="A28" s="38"/>
      <c r="B28" s="120" t="s">
        <v>50</v>
      </c>
      <c r="C28" s="133"/>
      <c r="D28" s="130">
        <v>2015</v>
      </c>
      <c r="E28" s="134">
        <f>E32+E36+E40+E44+E49</f>
        <v>6697</v>
      </c>
      <c r="F28" s="134">
        <f t="shared" ref="F28:G28" si="2">F32+F36+F40+F44+F49</f>
        <v>1211</v>
      </c>
      <c r="G28" s="134">
        <f t="shared" si="2"/>
        <v>5486</v>
      </c>
      <c r="H28" s="38"/>
    </row>
    <row r="29" spans="1:8" s="31" customFormat="1" ht="15.95" customHeight="1">
      <c r="A29" s="38"/>
      <c r="B29" s="120"/>
      <c r="C29" s="133"/>
      <c r="D29" s="130">
        <v>2016</v>
      </c>
      <c r="E29" s="134">
        <f t="shared" ref="E29:G30" si="3">E33+E37+E41+E45+E50</f>
        <v>6116</v>
      </c>
      <c r="F29" s="134">
        <f t="shared" si="3"/>
        <v>1038</v>
      </c>
      <c r="G29" s="134">
        <f t="shared" si="3"/>
        <v>5078</v>
      </c>
      <c r="H29" s="38"/>
    </row>
    <row r="30" spans="1:8" s="31" customFormat="1" ht="15.95" customHeight="1">
      <c r="A30" s="38"/>
      <c r="B30" s="120"/>
      <c r="C30" s="133"/>
      <c r="D30" s="130">
        <v>2017</v>
      </c>
      <c r="E30" s="134">
        <f t="shared" si="3"/>
        <v>5551</v>
      </c>
      <c r="F30" s="134">
        <f t="shared" si="3"/>
        <v>1078</v>
      </c>
      <c r="G30" s="134">
        <f t="shared" si="3"/>
        <v>4473</v>
      </c>
      <c r="H30" s="38"/>
    </row>
    <row r="31" spans="1:8" ht="8.1" customHeight="1">
      <c r="A31" s="37"/>
      <c r="B31" s="39"/>
      <c r="C31" s="39"/>
      <c r="D31" s="43"/>
      <c r="E31" s="10"/>
      <c r="F31" s="9"/>
      <c r="G31" s="9"/>
      <c r="H31" s="37"/>
    </row>
    <row r="32" spans="1:8" s="31" customFormat="1" ht="15.95" customHeight="1">
      <c r="A32" s="38"/>
      <c r="B32" s="92" t="s">
        <v>87</v>
      </c>
      <c r="C32" s="91"/>
      <c r="D32" s="177">
        <v>2015</v>
      </c>
      <c r="E32" s="175">
        <v>567</v>
      </c>
      <c r="F32" s="175">
        <v>73</v>
      </c>
      <c r="G32" s="175">
        <v>494</v>
      </c>
      <c r="H32" s="38"/>
    </row>
    <row r="33" spans="1:8" s="31" customFormat="1" ht="15.95" customHeight="1">
      <c r="A33" s="38"/>
      <c r="B33" s="92"/>
      <c r="C33" s="91"/>
      <c r="D33" s="177">
        <v>2016</v>
      </c>
      <c r="E33" s="175">
        <v>537</v>
      </c>
      <c r="F33" s="175">
        <v>89</v>
      </c>
      <c r="G33" s="175">
        <v>448</v>
      </c>
      <c r="H33" s="38"/>
    </row>
    <row r="34" spans="1:8" s="31" customFormat="1" ht="15.95" customHeight="1">
      <c r="A34" s="38"/>
      <c r="B34" s="92"/>
      <c r="C34" s="91"/>
      <c r="D34" s="177">
        <v>2017</v>
      </c>
      <c r="E34" s="171">
        <v>521</v>
      </c>
      <c r="F34" s="171">
        <v>89</v>
      </c>
      <c r="G34" s="171">
        <v>432</v>
      </c>
      <c r="H34" s="38"/>
    </row>
    <row r="35" spans="1:8" s="31" customFormat="1" ht="8.1" customHeight="1">
      <c r="A35" s="38"/>
      <c r="B35" s="93"/>
      <c r="C35" s="91"/>
      <c r="D35" s="170"/>
      <c r="E35" s="171"/>
      <c r="F35" s="171"/>
      <c r="G35" s="171"/>
      <c r="H35" s="38"/>
    </row>
    <row r="36" spans="1:8" s="31" customFormat="1" ht="15.95" customHeight="1">
      <c r="A36" s="38"/>
      <c r="B36" s="92" t="s">
        <v>88</v>
      </c>
      <c r="C36" s="91"/>
      <c r="D36" s="177">
        <v>2015</v>
      </c>
      <c r="E36" s="175">
        <v>560</v>
      </c>
      <c r="F36" s="175">
        <v>142</v>
      </c>
      <c r="G36" s="175">
        <v>418</v>
      </c>
      <c r="H36" s="38"/>
    </row>
    <row r="37" spans="1:8" s="31" customFormat="1" ht="15.95" customHeight="1">
      <c r="A37" s="38"/>
      <c r="B37" s="92"/>
      <c r="C37" s="91"/>
      <c r="D37" s="177">
        <v>2016</v>
      </c>
      <c r="E37" s="175">
        <v>507</v>
      </c>
      <c r="F37" s="175">
        <v>137</v>
      </c>
      <c r="G37" s="175">
        <v>370</v>
      </c>
      <c r="H37" s="38"/>
    </row>
    <row r="38" spans="1:8" ht="15.95" customHeight="1">
      <c r="B38" s="92"/>
      <c r="C38" s="94"/>
      <c r="D38" s="177">
        <v>2017</v>
      </c>
      <c r="E38" s="171">
        <v>473</v>
      </c>
      <c r="F38" s="171">
        <v>138</v>
      </c>
      <c r="G38" s="171">
        <v>335</v>
      </c>
    </row>
    <row r="39" spans="1:8" ht="8.1" customHeight="1">
      <c r="B39" s="93"/>
      <c r="C39" s="94"/>
      <c r="D39" s="178"/>
      <c r="E39" s="175"/>
      <c r="F39" s="175"/>
      <c r="G39" s="175"/>
    </row>
    <row r="40" spans="1:8" ht="15.95" customHeight="1">
      <c r="B40" s="92" t="s">
        <v>89</v>
      </c>
      <c r="C40" s="94"/>
      <c r="D40" s="177">
        <v>2015</v>
      </c>
      <c r="E40" s="175">
        <v>2560</v>
      </c>
      <c r="F40" s="175">
        <v>469</v>
      </c>
      <c r="G40" s="175">
        <v>2091</v>
      </c>
    </row>
    <row r="41" spans="1:8" ht="15.95" customHeight="1">
      <c r="B41" s="92"/>
      <c r="C41" s="94"/>
      <c r="D41" s="177">
        <v>2016</v>
      </c>
      <c r="E41" s="175">
        <v>2212</v>
      </c>
      <c r="F41" s="175">
        <v>340</v>
      </c>
      <c r="G41" s="175">
        <v>1872</v>
      </c>
    </row>
    <row r="42" spans="1:8" ht="15.95" customHeight="1">
      <c r="B42" s="92"/>
      <c r="C42" s="94"/>
      <c r="D42" s="177">
        <v>2017</v>
      </c>
      <c r="E42" s="171">
        <v>1903</v>
      </c>
      <c r="F42" s="171">
        <v>322</v>
      </c>
      <c r="G42" s="171">
        <v>1581</v>
      </c>
    </row>
    <row r="43" spans="1:8" ht="8.1" customHeight="1">
      <c r="B43" s="93"/>
      <c r="C43" s="94"/>
      <c r="D43" s="178"/>
      <c r="E43" s="175"/>
      <c r="F43" s="175"/>
      <c r="G43" s="175"/>
    </row>
    <row r="44" spans="1:8" ht="15.95" customHeight="1">
      <c r="B44" s="92" t="s">
        <v>90</v>
      </c>
      <c r="C44" s="94"/>
      <c r="D44" s="177">
        <v>2015</v>
      </c>
      <c r="E44" s="175">
        <v>1089</v>
      </c>
      <c r="F44" s="175">
        <v>187</v>
      </c>
      <c r="G44" s="175">
        <v>902</v>
      </c>
    </row>
    <row r="45" spans="1:8" ht="15.95" customHeight="1">
      <c r="B45" s="92"/>
      <c r="C45" s="94"/>
      <c r="D45" s="177">
        <v>2016</v>
      </c>
      <c r="E45" s="175">
        <v>1154</v>
      </c>
      <c r="F45" s="175">
        <v>166</v>
      </c>
      <c r="G45" s="175">
        <v>988</v>
      </c>
    </row>
    <row r="46" spans="1:8" ht="15.95" customHeight="1">
      <c r="B46" s="92"/>
      <c r="C46" s="94"/>
      <c r="D46" s="177">
        <v>2017</v>
      </c>
      <c r="E46" s="171">
        <v>1107</v>
      </c>
      <c r="F46" s="171">
        <v>159</v>
      </c>
      <c r="G46" s="171">
        <v>948</v>
      </c>
    </row>
    <row r="47" spans="1:8" ht="8.1" customHeight="1">
      <c r="B47" s="93"/>
      <c r="C47" s="94"/>
      <c r="D47" s="178"/>
      <c r="E47" s="175"/>
      <c r="F47" s="175"/>
      <c r="G47" s="175"/>
    </row>
    <row r="48" spans="1:8" ht="8.1" customHeight="1">
      <c r="B48" s="93"/>
      <c r="C48" s="94"/>
      <c r="D48" s="178"/>
      <c r="E48" s="175"/>
      <c r="F48" s="175"/>
      <c r="G48" s="175"/>
    </row>
    <row r="49" spans="1:7" ht="15.95" customHeight="1">
      <c r="B49" s="92" t="s">
        <v>91</v>
      </c>
      <c r="C49" s="94"/>
      <c r="D49" s="177">
        <v>2015</v>
      </c>
      <c r="E49" s="175">
        <v>1921</v>
      </c>
      <c r="F49" s="175">
        <v>340</v>
      </c>
      <c r="G49" s="175">
        <v>1581</v>
      </c>
    </row>
    <row r="50" spans="1:7" ht="15.95" customHeight="1">
      <c r="B50" s="92"/>
      <c r="C50" s="94"/>
      <c r="D50" s="177">
        <v>2016</v>
      </c>
      <c r="E50" s="175">
        <v>1706</v>
      </c>
      <c r="F50" s="175">
        <v>306</v>
      </c>
      <c r="G50" s="175">
        <v>1400</v>
      </c>
    </row>
    <row r="51" spans="1:7" ht="15.95" customHeight="1">
      <c r="B51" s="92"/>
      <c r="C51" s="94"/>
      <c r="D51" s="177">
        <v>2017</v>
      </c>
      <c r="E51" s="171">
        <v>1547</v>
      </c>
      <c r="F51" s="171">
        <v>370</v>
      </c>
      <c r="G51" s="171">
        <v>1177</v>
      </c>
    </row>
    <row r="52" spans="1:7" ht="8.1" customHeight="1" thickBot="1">
      <c r="A52" s="50"/>
      <c r="B52" s="51"/>
      <c r="C52" s="32"/>
      <c r="D52" s="138"/>
      <c r="E52" s="26"/>
      <c r="F52" s="12"/>
      <c r="G52" s="12"/>
    </row>
    <row r="53" spans="1:7" s="2" customFormat="1">
      <c r="B53" s="3"/>
      <c r="C53" s="3"/>
      <c r="D53" s="139"/>
      <c r="E53" s="21"/>
      <c r="F53" s="22"/>
      <c r="G53" s="8" t="s">
        <v>104</v>
      </c>
    </row>
    <row r="54" spans="1:7" s="2" customFormat="1">
      <c r="B54" s="3"/>
      <c r="C54" s="3"/>
      <c r="D54" s="139"/>
      <c r="E54" s="21"/>
      <c r="F54" s="22"/>
      <c r="G54" s="25" t="s">
        <v>1</v>
      </c>
    </row>
    <row r="55" spans="1:7" s="2" customFormat="1">
      <c r="B55" s="3"/>
      <c r="C55" s="3"/>
      <c r="D55" s="139"/>
      <c r="E55" s="21"/>
      <c r="F55" s="22"/>
      <c r="G55" s="22"/>
    </row>
    <row r="56" spans="1:7" s="2" customFormat="1">
      <c r="B56" s="38"/>
      <c r="C56" s="43"/>
      <c r="D56" s="43"/>
      <c r="E56" s="21"/>
      <c r="F56" s="22"/>
      <c r="G56" s="22"/>
    </row>
    <row r="57" spans="1:7" s="2" customFormat="1">
      <c r="B57" s="44"/>
      <c r="C57" s="43"/>
      <c r="D57" s="43"/>
      <c r="E57" s="21"/>
      <c r="F57" s="22"/>
      <c r="G57" s="22"/>
    </row>
    <row r="58" spans="1:7">
      <c r="D58" s="145"/>
    </row>
    <row r="59" spans="1:7">
      <c r="D59" s="145"/>
    </row>
    <row r="60" spans="1:7">
      <c r="D60" s="145"/>
    </row>
    <row r="61" spans="1:7">
      <c r="D61" s="145"/>
    </row>
    <row r="62" spans="1:7">
      <c r="D62" s="145"/>
    </row>
    <row r="63" spans="1:7">
      <c r="D63" s="145"/>
    </row>
    <row r="64" spans="1:7">
      <c r="D64" s="145"/>
    </row>
    <row r="65" spans="4:4">
      <c r="D65" s="145"/>
    </row>
    <row r="66" spans="4:4">
      <c r="D66" s="145"/>
    </row>
    <row r="67" spans="4:4">
      <c r="D67" s="145"/>
    </row>
    <row r="68" spans="4:4">
      <c r="D68" s="145"/>
    </row>
    <row r="69" spans="4:4">
      <c r="D69" s="145"/>
    </row>
  </sheetData>
  <mergeCells count="6">
    <mergeCell ref="C6:G6"/>
    <mergeCell ref="E8:E9"/>
    <mergeCell ref="F8:F9"/>
    <mergeCell ref="G8:G9"/>
    <mergeCell ref="B8:C9"/>
    <mergeCell ref="D8:D9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0" fitToWidth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9"/>
  <sheetViews>
    <sheetView showGridLines="0" topLeftCell="B16" zoomScaleNormal="100" zoomScaleSheetLayoutView="100" workbookViewId="0">
      <selection activeCell="P43" sqref="P43"/>
    </sheetView>
  </sheetViews>
  <sheetFormatPr defaultColWidth="9.140625" defaultRowHeight="15"/>
  <cols>
    <col min="1" max="1" width="1.7109375" style="2" customWidth="1"/>
    <col min="2" max="2" width="10.7109375" style="3" customWidth="1"/>
    <col min="3" max="3" width="12.28515625" style="3" customWidth="1"/>
    <col min="4" max="4" width="10.85546875" style="3" customWidth="1"/>
    <col min="5" max="5" width="15.7109375" style="21" customWidth="1"/>
    <col min="6" max="7" width="23.7109375" style="22" customWidth="1"/>
    <col min="8" max="8" width="0.85546875" style="2" customWidth="1"/>
    <col min="9" max="16384" width="9.140625" style="2"/>
  </cols>
  <sheetData>
    <row r="1" spans="1:8" s="30" customFormat="1" ht="12" customHeight="1">
      <c r="B1" s="27"/>
      <c r="C1" s="27"/>
      <c r="D1" s="27"/>
      <c r="E1" s="28"/>
      <c r="F1" s="29"/>
      <c r="G1" s="179" t="s">
        <v>188</v>
      </c>
    </row>
    <row r="2" spans="1:8" s="30" customFormat="1" ht="12" customHeight="1">
      <c r="B2" s="27"/>
      <c r="C2" s="27"/>
      <c r="D2" s="27"/>
      <c r="E2" s="28"/>
      <c r="F2" s="29"/>
      <c r="G2" s="180" t="s">
        <v>189</v>
      </c>
    </row>
    <row r="3" spans="1:8" s="30" customFormat="1" ht="12" customHeight="1">
      <c r="B3" s="27"/>
      <c r="C3" s="27"/>
      <c r="D3" s="27"/>
      <c r="E3" s="28"/>
      <c r="F3" s="29"/>
      <c r="G3" s="75"/>
    </row>
    <row r="4" spans="1:8" s="30" customFormat="1" ht="12" customHeight="1">
      <c r="B4" s="27"/>
      <c r="C4" s="27"/>
      <c r="D4" s="27"/>
      <c r="E4" s="28"/>
      <c r="F4" s="29"/>
      <c r="G4" s="75"/>
    </row>
    <row r="5" spans="1:8" s="55" customFormat="1" ht="15" customHeight="1">
      <c r="B5" s="88" t="s">
        <v>92</v>
      </c>
      <c r="C5" s="71" t="s">
        <v>179</v>
      </c>
      <c r="D5" s="71"/>
      <c r="E5" s="70"/>
      <c r="F5" s="71"/>
      <c r="G5" s="71"/>
      <c r="H5" s="71"/>
    </row>
    <row r="6" spans="1:8" s="72" customFormat="1" ht="15" customHeight="1">
      <c r="B6" s="89" t="s">
        <v>93</v>
      </c>
      <c r="C6" s="189" t="s">
        <v>180</v>
      </c>
      <c r="D6" s="189"/>
      <c r="E6" s="189"/>
      <c r="F6" s="189"/>
      <c r="G6" s="189"/>
      <c r="H6" s="74"/>
    </row>
    <row r="7" spans="1:8" ht="9.9499999999999993" customHeight="1" thickBot="1"/>
    <row r="8" spans="1:8" s="55" customFormat="1" ht="20.100000000000001" customHeight="1" thickTop="1">
      <c r="A8" s="53"/>
      <c r="B8" s="196" t="s">
        <v>98</v>
      </c>
      <c r="C8" s="196"/>
      <c r="D8" s="190" t="s">
        <v>100</v>
      </c>
      <c r="E8" s="190" t="s">
        <v>95</v>
      </c>
      <c r="F8" s="192" t="s">
        <v>96</v>
      </c>
      <c r="G8" s="192" t="s">
        <v>97</v>
      </c>
      <c r="H8" s="54"/>
    </row>
    <row r="9" spans="1:8" s="55" customFormat="1" ht="33" customHeight="1">
      <c r="A9" s="56"/>
      <c r="B9" s="197"/>
      <c r="C9" s="197"/>
      <c r="D9" s="191"/>
      <c r="E9" s="191"/>
      <c r="F9" s="193"/>
      <c r="G9" s="193"/>
      <c r="H9" s="57"/>
    </row>
    <row r="10" spans="1:8" s="6" customFormat="1" ht="8.1" customHeight="1">
      <c r="B10" s="39"/>
      <c r="C10" s="13"/>
      <c r="D10" s="13"/>
      <c r="E10" s="9"/>
      <c r="F10" s="9"/>
      <c r="G10" s="9"/>
    </row>
    <row r="11" spans="1:8" s="111" customFormat="1" ht="15" customHeight="1">
      <c r="B11" s="68" t="s">
        <v>158</v>
      </c>
      <c r="C11" s="68"/>
      <c r="D11" s="69">
        <v>2015</v>
      </c>
      <c r="E11" s="174">
        <f>E15+E19+E23+E27+E31+E35+E39+E43+E47+'1.2Sbh (2)'!E11+'1.2Sbh (2)'!E15+'1.2Sbh (2)'!E19+'1.2Sbh (2)'!E23+'1.2Sbh (2)'!E27+'1.2Sbh (2)'!E31+'1.2Sbh (2)'!E35+'1.2Sbh (2)'!E39+'1.2Sbh (2)'!E43+'1.2Sbh (2)'!E47+'1.2Sbh (2)'!E51</f>
        <v>5176</v>
      </c>
      <c r="F11" s="174">
        <f>F15+F19+F23+F27+F31+F35+F39+F43+F47+'1.2Sbh (2)'!F11+'1.2Sbh (2)'!F15+'1.2Sbh (2)'!F19+'1.2Sbh (2)'!F23+'1.2Sbh (2)'!F27+'1.2Sbh (2)'!F31+'1.2Sbh (2)'!F35+'1.2Sbh (2)'!F39+'1.2Sbh (2)'!F43+'1.2Sbh (2)'!F47+'1.2Sbh (2)'!F51</f>
        <v>773</v>
      </c>
      <c r="G11" s="174">
        <f>G15+G19+G23+G27+G31+G35+G39+G43+G47+'1.2Sbh (2)'!G11+'1.2Sbh (2)'!G15+'1.2Sbh (2)'!G19+'1.2Sbh (2)'!G23+'1.2Sbh (2)'!G27+'1.2Sbh (2)'!G31+'1.2Sbh (2)'!G35+'1.2Sbh (2)'!G39+'1.2Sbh (2)'!G43+'1.2Sbh (2)'!G47+'1.2Sbh (2)'!G51</f>
        <v>4403</v>
      </c>
    </row>
    <row r="12" spans="1:8" s="111" customFormat="1" ht="15" customHeight="1">
      <c r="C12" s="68"/>
      <c r="D12" s="69">
        <v>2016</v>
      </c>
      <c r="E12" s="174">
        <f>E16+E20+E24+E28+E32+E36+E40+E44+E48+'1.2Sbh (2)'!E12+'1.2Sbh (2)'!E16+'1.2Sbh (2)'!E20+'1.2Sbh (2)'!E24+'1.2Sbh (2)'!E28+'1.2Sbh (2)'!E32+'1.2Sbh (2)'!E36+'1.2Sbh (2)'!E40+'1.2Sbh (2)'!E44+'1.2Sbh (2)'!E48+'1.2Sbh (2)'!E52</f>
        <v>5367</v>
      </c>
      <c r="F12" s="174">
        <f>F16+F20+F24+F28+F32+F36+F40+F44+F48+'1.2Sbh (2)'!F12+'1.2Sbh (2)'!F16+'1.2Sbh (2)'!F20+'1.2Sbh (2)'!F24+'1.2Sbh (2)'!F28+'1.2Sbh (2)'!F32+'1.2Sbh (2)'!F36+'1.2Sbh (2)'!F40+'1.2Sbh (2)'!F44+'1.2Sbh (2)'!F48+'1.2Sbh (2)'!F52</f>
        <v>647</v>
      </c>
      <c r="G12" s="174">
        <f>G16+G20+G24+G28+G32+G36+G40+G44+G48+'1.2Sbh (2)'!G12+'1.2Sbh (2)'!G16+'1.2Sbh (2)'!G20+'1.2Sbh (2)'!G24+'1.2Sbh (2)'!G28+'1.2Sbh (2)'!G32+'1.2Sbh (2)'!G36+'1.2Sbh (2)'!G40+'1.2Sbh (2)'!G44+'1.2Sbh (2)'!G48+'1.2Sbh (2)'!G52</f>
        <v>4720</v>
      </c>
    </row>
    <row r="13" spans="1:8" s="111" customFormat="1" ht="15" customHeight="1">
      <c r="C13" s="68"/>
      <c r="D13" s="69">
        <v>2017</v>
      </c>
      <c r="E13" s="174">
        <f>SUM(F13:G13)</f>
        <v>6236</v>
      </c>
      <c r="F13" s="174">
        <f>F17+F21+F25+F29+F33+F37+F41+F45+F49+'1.2Sbh (2)'!F13+'1.2Sbh (2)'!F17+'1.2Sbh (2)'!F21+'1.2Sbh (2)'!F25+'1.2Sbh (2)'!F29+'1.2Sbh (2)'!F33+'1.2Sbh (2)'!F37+'1.2Sbh (2)'!F41+'1.2Sbh (2)'!F45+'1.2Sbh (2)'!F49+'1.2Sbh (2)'!F53</f>
        <v>761</v>
      </c>
      <c r="G13" s="174">
        <f>G17+G21+G25+G29+G33+G37+G41+G45+G49+'1.2Sbh (2)'!G13+'1.2Sbh (2)'!G17+'1.2Sbh (2)'!G21+'1.2Sbh (2)'!G25+'1.2Sbh (2)'!G29+'1.2Sbh (2)'!G33+'1.2Sbh (2)'!G37+'1.2Sbh (2)'!G41+'1.2Sbh (2)'!G45+'1.2Sbh (2)'!G49+'1.2Sbh (2)'!G53</f>
        <v>5475</v>
      </c>
    </row>
    <row r="14" spans="1:8" s="6" customFormat="1" ht="8.1" customHeight="1">
      <c r="B14" s="39"/>
      <c r="C14" s="13"/>
      <c r="D14" s="13"/>
      <c r="E14" s="9"/>
      <c r="F14" s="9"/>
      <c r="G14" s="9"/>
    </row>
    <row r="15" spans="1:8" s="111" customFormat="1" ht="15" customHeight="1">
      <c r="B15" s="62" t="s">
        <v>159</v>
      </c>
      <c r="C15" s="68"/>
      <c r="D15" s="170">
        <v>2015</v>
      </c>
      <c r="E15" s="175">
        <v>106</v>
      </c>
      <c r="F15" s="175">
        <v>21</v>
      </c>
      <c r="G15" s="175">
        <v>85</v>
      </c>
    </row>
    <row r="16" spans="1:8" s="111" customFormat="1" ht="15" customHeight="1">
      <c r="C16" s="68"/>
      <c r="D16" s="170">
        <v>2016</v>
      </c>
      <c r="E16" s="175">
        <v>135</v>
      </c>
      <c r="F16" s="175">
        <v>16</v>
      </c>
      <c r="G16" s="175">
        <v>119</v>
      </c>
    </row>
    <row r="17" spans="2:7" s="111" customFormat="1" ht="15" customHeight="1">
      <c r="C17" s="62"/>
      <c r="D17" s="170">
        <v>2017</v>
      </c>
      <c r="E17" s="175">
        <f>SUM(F17:G17)</f>
        <v>158</v>
      </c>
      <c r="F17" s="175">
        <v>22</v>
      </c>
      <c r="G17" s="175">
        <v>136</v>
      </c>
    </row>
    <row r="18" spans="2:7" s="111" customFormat="1" ht="12.95" customHeight="1">
      <c r="C18" s="62"/>
      <c r="D18" s="170"/>
      <c r="E18" s="10"/>
      <c r="F18" s="175"/>
      <c r="G18" s="175"/>
    </row>
    <row r="19" spans="2:7" s="111" customFormat="1" ht="15" customHeight="1">
      <c r="B19" s="62" t="s">
        <v>160</v>
      </c>
      <c r="C19" s="62"/>
      <c r="D19" s="170">
        <v>2015</v>
      </c>
      <c r="E19" s="175">
        <v>34</v>
      </c>
      <c r="F19" s="175">
        <v>11</v>
      </c>
      <c r="G19" s="175">
        <v>23</v>
      </c>
    </row>
    <row r="20" spans="2:7" s="111" customFormat="1" ht="15" customHeight="1">
      <c r="C20" s="62"/>
      <c r="D20" s="170">
        <v>2016</v>
      </c>
      <c r="E20" s="175">
        <v>58</v>
      </c>
      <c r="F20" s="175">
        <v>16</v>
      </c>
      <c r="G20" s="175">
        <v>42</v>
      </c>
    </row>
    <row r="21" spans="2:7" s="111" customFormat="1" ht="15" customHeight="1">
      <c r="C21" s="62"/>
      <c r="D21" s="170">
        <v>2017</v>
      </c>
      <c r="E21" s="175">
        <f>SUM(F21:G21)</f>
        <v>77</v>
      </c>
      <c r="F21" s="175">
        <v>21</v>
      </c>
      <c r="G21" s="175">
        <v>56</v>
      </c>
    </row>
    <row r="22" spans="2:7" s="111" customFormat="1" ht="12.95" customHeight="1">
      <c r="C22" s="62"/>
      <c r="D22" s="170"/>
      <c r="E22" s="10"/>
      <c r="F22" s="175"/>
      <c r="G22" s="175"/>
    </row>
    <row r="23" spans="2:7" s="111" customFormat="1" ht="15" customHeight="1">
      <c r="B23" s="62" t="s">
        <v>161</v>
      </c>
      <c r="C23" s="62"/>
      <c r="D23" s="170">
        <v>2015</v>
      </c>
      <c r="E23" s="175">
        <v>143</v>
      </c>
      <c r="F23" s="175">
        <v>39</v>
      </c>
      <c r="G23" s="175">
        <v>104</v>
      </c>
    </row>
    <row r="24" spans="2:7" s="111" customFormat="1" ht="15" customHeight="1">
      <c r="C24" s="62"/>
      <c r="D24" s="170">
        <v>2016</v>
      </c>
      <c r="E24" s="175">
        <v>227</v>
      </c>
      <c r="F24" s="175">
        <v>58</v>
      </c>
      <c r="G24" s="175">
        <v>169</v>
      </c>
    </row>
    <row r="25" spans="2:7" s="111" customFormat="1" ht="15" customHeight="1">
      <c r="C25" s="62"/>
      <c r="D25" s="170">
        <v>2017</v>
      </c>
      <c r="E25" s="175">
        <f>SUM(F25:G25)</f>
        <v>200</v>
      </c>
      <c r="F25" s="175">
        <v>39</v>
      </c>
      <c r="G25" s="175">
        <v>161</v>
      </c>
    </row>
    <row r="26" spans="2:7" s="111" customFormat="1" ht="12.95" customHeight="1">
      <c r="C26" s="62"/>
      <c r="D26" s="170"/>
      <c r="E26" s="10"/>
      <c r="F26" s="175"/>
      <c r="G26" s="175"/>
    </row>
    <row r="27" spans="2:7" s="111" customFormat="1" ht="15" customHeight="1">
      <c r="B27" s="62" t="s">
        <v>162</v>
      </c>
      <c r="C27" s="112"/>
      <c r="D27" s="170">
        <v>2015</v>
      </c>
      <c r="E27" s="175">
        <v>102</v>
      </c>
      <c r="F27" s="173">
        <v>18</v>
      </c>
      <c r="G27" s="175">
        <v>84</v>
      </c>
    </row>
    <row r="28" spans="2:7" s="111" customFormat="1" ht="15" customHeight="1">
      <c r="C28" s="112"/>
      <c r="D28" s="170">
        <v>2016</v>
      </c>
      <c r="E28" s="175">
        <v>154</v>
      </c>
      <c r="F28" s="173">
        <v>22</v>
      </c>
      <c r="G28" s="175">
        <v>132</v>
      </c>
    </row>
    <row r="29" spans="2:7" s="111" customFormat="1" ht="15" customHeight="1">
      <c r="C29" s="62"/>
      <c r="D29" s="170">
        <v>2017</v>
      </c>
      <c r="E29" s="175">
        <f>SUM(F29:G29)</f>
        <v>217</v>
      </c>
      <c r="F29" s="173">
        <v>33</v>
      </c>
      <c r="G29" s="173">
        <v>184</v>
      </c>
    </row>
    <row r="30" spans="2:7" s="111" customFormat="1" ht="12.95" customHeight="1">
      <c r="C30" s="62"/>
      <c r="D30" s="170"/>
      <c r="E30" s="10"/>
      <c r="F30" s="173"/>
      <c r="G30" s="173"/>
    </row>
    <row r="31" spans="2:7" s="111" customFormat="1" ht="15" customHeight="1">
      <c r="B31" s="62" t="s">
        <v>163</v>
      </c>
      <c r="C31" s="62"/>
      <c r="D31" s="170">
        <v>2015</v>
      </c>
      <c r="E31" s="175">
        <v>1384</v>
      </c>
      <c r="F31" s="175">
        <v>192</v>
      </c>
      <c r="G31" s="175">
        <v>1192</v>
      </c>
    </row>
    <row r="32" spans="2:7" s="111" customFormat="1" ht="15" customHeight="1">
      <c r="C32" s="62"/>
      <c r="D32" s="170">
        <v>2016</v>
      </c>
      <c r="E32" s="175">
        <v>1354</v>
      </c>
      <c r="F32" s="175">
        <v>109</v>
      </c>
      <c r="G32" s="175">
        <v>1245</v>
      </c>
    </row>
    <row r="33" spans="2:7" s="111" customFormat="1" ht="15" customHeight="1">
      <c r="C33" s="62"/>
      <c r="D33" s="170">
        <v>2017</v>
      </c>
      <c r="E33" s="175">
        <f>SUM(F33:G33)</f>
        <v>1538</v>
      </c>
      <c r="F33" s="173">
        <v>151</v>
      </c>
      <c r="G33" s="175">
        <v>1387</v>
      </c>
    </row>
    <row r="34" spans="2:7" s="111" customFormat="1" ht="12.95" customHeight="1">
      <c r="C34" s="62"/>
      <c r="D34" s="170"/>
      <c r="E34" s="10"/>
      <c r="F34" s="173"/>
      <c r="G34" s="175"/>
    </row>
    <row r="35" spans="2:7" s="111" customFormat="1" ht="15" customHeight="1">
      <c r="B35" s="62" t="s">
        <v>164</v>
      </c>
      <c r="C35" s="62"/>
      <c r="D35" s="170">
        <v>2015</v>
      </c>
      <c r="E35" s="175">
        <v>66</v>
      </c>
      <c r="F35" s="175">
        <v>28</v>
      </c>
      <c r="G35" s="175">
        <v>38</v>
      </c>
    </row>
    <row r="36" spans="2:7" s="111" customFormat="1" ht="15" customHeight="1">
      <c r="C36" s="62"/>
      <c r="D36" s="170">
        <v>2016</v>
      </c>
      <c r="E36" s="175">
        <v>57</v>
      </c>
      <c r="F36" s="175">
        <v>18</v>
      </c>
      <c r="G36" s="175">
        <v>39</v>
      </c>
    </row>
    <row r="37" spans="2:7" s="111" customFormat="1" ht="15" customHeight="1">
      <c r="C37" s="62"/>
      <c r="D37" s="170">
        <v>2017</v>
      </c>
      <c r="E37" s="175">
        <f>SUM(F37:G37)</f>
        <v>61</v>
      </c>
      <c r="F37" s="175">
        <v>14</v>
      </c>
      <c r="G37" s="175">
        <v>47</v>
      </c>
    </row>
    <row r="38" spans="2:7" s="111" customFormat="1" ht="12.95" customHeight="1">
      <c r="C38" s="62"/>
      <c r="D38" s="170"/>
      <c r="E38" s="10"/>
      <c r="F38" s="175"/>
      <c r="G38" s="175"/>
    </row>
    <row r="39" spans="2:7" s="111" customFormat="1" ht="15" customHeight="1">
      <c r="B39" s="62" t="s">
        <v>165</v>
      </c>
      <c r="C39" s="62"/>
      <c r="D39" s="170">
        <v>2015</v>
      </c>
      <c r="E39" s="175">
        <v>63</v>
      </c>
      <c r="F39" s="173">
        <v>23</v>
      </c>
      <c r="G39" s="175">
        <v>40</v>
      </c>
    </row>
    <row r="40" spans="2:7" s="111" customFormat="1" ht="15" customHeight="1">
      <c r="C40" s="62"/>
      <c r="D40" s="170">
        <v>2016</v>
      </c>
      <c r="E40" s="175">
        <v>69</v>
      </c>
      <c r="F40" s="175">
        <v>18</v>
      </c>
      <c r="G40" s="175">
        <v>51</v>
      </c>
    </row>
    <row r="41" spans="2:7" s="111" customFormat="1" ht="15" customHeight="1">
      <c r="C41" s="62"/>
      <c r="D41" s="170">
        <v>2017</v>
      </c>
      <c r="E41" s="175">
        <f>SUM(F41:G41)</f>
        <v>102</v>
      </c>
      <c r="F41" s="175">
        <v>16</v>
      </c>
      <c r="G41" s="175">
        <v>86</v>
      </c>
    </row>
    <row r="42" spans="2:7" s="111" customFormat="1" ht="12.95" customHeight="1">
      <c r="C42" s="62"/>
      <c r="D42" s="170"/>
      <c r="E42" s="10"/>
      <c r="F42" s="175"/>
      <c r="G42" s="175"/>
    </row>
    <row r="43" spans="2:7" s="111" customFormat="1" ht="15" customHeight="1">
      <c r="B43" s="62" t="s">
        <v>166</v>
      </c>
      <c r="C43" s="62"/>
      <c r="D43" s="170">
        <v>2015</v>
      </c>
      <c r="E43" s="175">
        <v>34</v>
      </c>
      <c r="F43" s="173">
        <v>5</v>
      </c>
      <c r="G43" s="175">
        <v>29</v>
      </c>
    </row>
    <row r="44" spans="2:7" s="111" customFormat="1" ht="15" customHeight="1">
      <c r="C44" s="62"/>
      <c r="D44" s="170">
        <v>2016</v>
      </c>
      <c r="E44" s="175">
        <v>59</v>
      </c>
      <c r="F44" s="175">
        <v>8</v>
      </c>
      <c r="G44" s="175">
        <v>51</v>
      </c>
    </row>
    <row r="45" spans="2:7" s="111" customFormat="1" ht="15" customHeight="1">
      <c r="C45" s="62"/>
      <c r="D45" s="170">
        <v>2017</v>
      </c>
      <c r="E45" s="175">
        <f>SUM(F45:G45)</f>
        <v>56</v>
      </c>
      <c r="F45" s="173">
        <v>14</v>
      </c>
      <c r="G45" s="175">
        <v>42</v>
      </c>
    </row>
    <row r="46" spans="2:7" s="111" customFormat="1" ht="12.95" customHeight="1">
      <c r="C46" s="62"/>
      <c r="D46" s="170"/>
      <c r="E46" s="10"/>
      <c r="F46" s="173"/>
      <c r="G46" s="175"/>
    </row>
    <row r="47" spans="2:7" s="111" customFormat="1" ht="15" customHeight="1">
      <c r="B47" s="62" t="s">
        <v>167</v>
      </c>
      <c r="C47" s="62"/>
      <c r="D47" s="170">
        <v>2015</v>
      </c>
      <c r="E47" s="175">
        <v>80</v>
      </c>
      <c r="F47" s="173">
        <v>13</v>
      </c>
      <c r="G47" s="175">
        <v>67</v>
      </c>
    </row>
    <row r="48" spans="2:7" s="111" customFormat="1" ht="15" customHeight="1">
      <c r="C48" s="62"/>
      <c r="D48" s="170">
        <v>2016</v>
      </c>
      <c r="E48" s="175">
        <v>86</v>
      </c>
      <c r="F48" s="173">
        <v>12</v>
      </c>
      <c r="G48" s="175">
        <v>74</v>
      </c>
    </row>
    <row r="49" spans="1:8" s="111" customFormat="1" ht="15" customHeight="1">
      <c r="C49" s="62"/>
      <c r="D49" s="170">
        <v>2017</v>
      </c>
      <c r="E49" s="175">
        <f>SUM(F49:G49)</f>
        <v>95</v>
      </c>
      <c r="F49" s="173">
        <v>8</v>
      </c>
      <c r="G49" s="175">
        <v>87</v>
      </c>
    </row>
    <row r="50" spans="1:8" s="111" customFormat="1" ht="12.95" customHeight="1" thickBot="1">
      <c r="A50" s="114"/>
      <c r="B50" s="114"/>
      <c r="C50" s="64"/>
      <c r="D50" s="142"/>
      <c r="E50" s="12"/>
      <c r="F50" s="65"/>
      <c r="G50" s="65"/>
      <c r="H50" s="114"/>
    </row>
    <row r="51" spans="1:8">
      <c r="D51" s="139"/>
      <c r="G51" s="121" t="s">
        <v>104</v>
      </c>
    </row>
    <row r="52" spans="1:8">
      <c r="D52" s="139"/>
      <c r="G52" s="41" t="s">
        <v>1</v>
      </c>
    </row>
    <row r="53" spans="1:8">
      <c r="D53" s="139"/>
    </row>
    <row r="54" spans="1:8" s="37" customFormat="1">
      <c r="B54" s="38"/>
      <c r="D54" s="38"/>
      <c r="E54" s="43"/>
      <c r="F54" s="103"/>
      <c r="G54" s="103"/>
    </row>
    <row r="55" spans="1:8" s="37" customFormat="1">
      <c r="B55" s="44"/>
      <c r="D55" s="38"/>
      <c r="E55" s="43"/>
      <c r="F55" s="103"/>
      <c r="G55" s="103"/>
    </row>
    <row r="56" spans="1:8">
      <c r="D56" s="139"/>
    </row>
    <row r="57" spans="1:8">
      <c r="D57" s="139"/>
    </row>
    <row r="58" spans="1:8">
      <c r="D58" s="139"/>
    </row>
    <row r="59" spans="1:8">
      <c r="D59" s="139"/>
    </row>
    <row r="60" spans="1:8" s="3" customFormat="1" ht="15" customHeight="1">
      <c r="D60" s="139"/>
      <c r="E60" s="21"/>
      <c r="F60" s="22"/>
      <c r="G60" s="22"/>
      <c r="H60" s="2"/>
    </row>
    <row r="61" spans="1:8">
      <c r="D61" s="139"/>
    </row>
    <row r="62" spans="1:8">
      <c r="D62" s="139"/>
    </row>
    <row r="63" spans="1:8">
      <c r="D63" s="139"/>
    </row>
    <row r="64" spans="1:8">
      <c r="D64" s="139"/>
    </row>
    <row r="65" spans="4:4">
      <c r="D65" s="139"/>
    </row>
    <row r="66" spans="4:4">
      <c r="D66" s="139"/>
    </row>
    <row r="67" spans="4:4">
      <c r="D67" s="139"/>
    </row>
    <row r="68" spans="4:4">
      <c r="D68" s="139"/>
    </row>
    <row r="69" spans="4:4">
      <c r="D69" s="139"/>
    </row>
  </sheetData>
  <mergeCells count="6">
    <mergeCell ref="B8:C9"/>
    <mergeCell ref="D8:D9"/>
    <mergeCell ref="C6:G6"/>
    <mergeCell ref="E8:E9"/>
    <mergeCell ref="F8:F9"/>
    <mergeCell ref="G8:G9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0" fitToWidth="0" orientation="portrait" r:id="rId1"/>
  <headerFooter>
    <oddHeader xml:space="preserve">&amp;R&amp;"-,Bold"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48</vt:i4>
      </vt:variant>
      <vt:variant>
        <vt:lpstr>Named Ranges</vt:lpstr>
      </vt:variant>
      <vt:variant>
        <vt:i4>17</vt:i4>
      </vt:variant>
    </vt:vector>
  </HeadingPairs>
  <TitlesOfParts>
    <vt:vector size="65" baseType="lpstr">
      <vt:lpstr> 1.1</vt:lpstr>
      <vt:lpstr>1.2Joh</vt:lpstr>
      <vt:lpstr>1.2Ked</vt:lpstr>
      <vt:lpstr>1.2Kel</vt:lpstr>
      <vt:lpstr>1.2Mel &amp; N9</vt:lpstr>
      <vt:lpstr>1.2Phg</vt:lpstr>
      <vt:lpstr>1.2Prk</vt:lpstr>
      <vt:lpstr>1.2Pls_PP</vt:lpstr>
      <vt:lpstr>1.2Sbh</vt:lpstr>
      <vt:lpstr>1.2Sbh (2)</vt:lpstr>
      <vt:lpstr>1.2Swk</vt:lpstr>
      <vt:lpstr>1.2Swk (2)</vt:lpstr>
      <vt:lpstr>1.2Swk (3)</vt:lpstr>
      <vt:lpstr>1.2Sel</vt:lpstr>
      <vt:lpstr>1.2Trg</vt:lpstr>
      <vt:lpstr>1.2WPKL</vt:lpstr>
      <vt:lpstr>1.3</vt:lpstr>
      <vt:lpstr>1.4Johor</vt:lpstr>
      <vt:lpstr>1.4Kedah</vt:lpstr>
      <vt:lpstr>1.4Kelantan</vt:lpstr>
      <vt:lpstr>1.4Melaka</vt:lpstr>
      <vt:lpstr>1.4Pahang</vt:lpstr>
      <vt:lpstr>1.4Perak</vt:lpstr>
      <vt:lpstr>1.4Perlis</vt:lpstr>
      <vt:lpstr>1.4Sabah</vt:lpstr>
      <vt:lpstr>1.4Sabah (2)</vt:lpstr>
      <vt:lpstr>1.4Sarawak</vt:lpstr>
      <vt:lpstr>1.4Sarawak (2)</vt:lpstr>
      <vt:lpstr>1.4Sarawak (3)</vt:lpstr>
      <vt:lpstr>1.4Selangor</vt:lpstr>
      <vt:lpstr>1.4Terengganu</vt:lpstr>
      <vt:lpstr>1.4W.P. KL</vt:lpstr>
      <vt:lpstr>1.5</vt:lpstr>
      <vt:lpstr>1.6Johor</vt:lpstr>
      <vt:lpstr>1.6Kedah</vt:lpstr>
      <vt:lpstr>1.6Kelantan</vt:lpstr>
      <vt:lpstr>1.6Melaka &amp; N9 </vt:lpstr>
      <vt:lpstr>1.6Pahang</vt:lpstr>
      <vt:lpstr>1.6Perak</vt:lpstr>
      <vt:lpstr>1.6Perlis &amp; PP </vt:lpstr>
      <vt:lpstr>1.6Sabah</vt:lpstr>
      <vt:lpstr>1.6Sabah (2)</vt:lpstr>
      <vt:lpstr>1.6Sarawak</vt:lpstr>
      <vt:lpstr>1.6Sarawak (2)</vt:lpstr>
      <vt:lpstr>1.6Sarawak (3)</vt:lpstr>
      <vt:lpstr>1.6Selangor</vt:lpstr>
      <vt:lpstr>1.6Terengganu</vt:lpstr>
      <vt:lpstr>1.6WPKL </vt:lpstr>
      <vt:lpstr>'1.2Joh'!Print_Area</vt:lpstr>
      <vt:lpstr>'1.2Ked'!Print_Area</vt:lpstr>
      <vt:lpstr>'1.2Kel'!Print_Area</vt:lpstr>
      <vt:lpstr>'1.2Mel &amp; N9'!Print_Area</vt:lpstr>
      <vt:lpstr>'1.2Phg'!Print_Area</vt:lpstr>
      <vt:lpstr>'1.2Pls_PP'!Print_Area</vt:lpstr>
      <vt:lpstr>'1.2Prk'!Print_Area</vt:lpstr>
      <vt:lpstr>'1.2Sel'!Print_Area</vt:lpstr>
      <vt:lpstr>'1.2Swk'!Print_Area</vt:lpstr>
      <vt:lpstr>'1.2Swk (2)'!Print_Area</vt:lpstr>
      <vt:lpstr>'1.2Swk (3)'!Print_Area</vt:lpstr>
      <vt:lpstr>'1.2Trg'!Print_Area</vt:lpstr>
      <vt:lpstr>'1.2WPKL'!Print_Area</vt:lpstr>
      <vt:lpstr>'1.4Melaka'!Print_Area</vt:lpstr>
      <vt:lpstr>'1.6Kedah'!Print_Area</vt:lpstr>
      <vt:lpstr>'1.6Perak'!Print_Area</vt:lpstr>
      <vt:lpstr>'1.6Sarawak'!Print_Area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intan</dc:creator>
  <cp:lastModifiedBy>nurdiyana</cp:lastModifiedBy>
  <cp:lastPrinted>2018-12-27T06:22:05Z</cp:lastPrinted>
  <dcterms:created xsi:type="dcterms:W3CDTF">2017-06-13T04:36:10Z</dcterms:created>
  <dcterms:modified xsi:type="dcterms:W3CDTF">2018-12-28T03:14:46Z</dcterms:modified>
</cp:coreProperties>
</file>